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49" activeTab="3"/>
  </bookViews>
  <sheets>
    <sheet name="Cal. romano" sheetId="1" r:id="rId1"/>
    <sheet name="Cal. juliano" sheetId="2" r:id="rId2"/>
    <sheet name="1582" sheetId="3" r:id="rId3"/>
    <sheet name="Cal. gregoriano" sheetId="4" r:id="rId4"/>
    <sheet name="Cal. Cristiano" sheetId="5" r:id="rId5"/>
    <sheet name="Hoy" sheetId="6" r:id="rId6"/>
    <sheet name="Santoral" sheetId="7" r:id="rId7"/>
    <sheet name="Cálculos" sheetId="8" r:id="rId8"/>
    <sheet name="Datos" sheetId="9" r:id="rId9"/>
    <sheet name="Fuentes" sheetId="10" state="hidden" r:id="rId10"/>
  </sheets>
  <externalReferences>
    <externalReference r:id="rId13"/>
    <externalReference r:id="rId14"/>
  </externalReferences>
  <definedNames>
    <definedName name="_xlnm.Print_Area" localSheetId="2">'1582'!$A$4:$O$64</definedName>
    <definedName name="_xlnm.Print_Area" localSheetId="4">'Cal. Cristiano'!$A$4:$O$70</definedName>
    <definedName name="_xlnm.Print_Area" localSheetId="3">'Cal. gregoriano'!$A$4:$O$64</definedName>
    <definedName name="_xlnm.Print_Area" localSheetId="1">'Cal. juliano'!$A$4:$P$64</definedName>
    <definedName name="_xlnm.Print_Area" localSheetId="0">'Cal. romano'!$A$4:$O$78</definedName>
    <definedName name="_xlnm.Print_Area" localSheetId="7">'Cálculos'!$B$1:$I$51</definedName>
    <definedName name="_xlnm.Print_Area" localSheetId="8">'Datos'!$M$1:$T$69</definedName>
    <definedName name="_xlnm.Print_Area" localSheetId="5">'Hoy'!$B$1:$F$32</definedName>
    <definedName name="TABLE" localSheetId="4">'Cal. Cristiano'!#REF!</definedName>
    <definedName name="TABLE" localSheetId="3">'Cal. gregoriano'!$AQ$24:$CC$24</definedName>
    <definedName name="TABLE_10" localSheetId="4">'Cal. Cristiano'!#REF!</definedName>
    <definedName name="TABLE_10" localSheetId="3">'Cal. gregoriano'!$AA$10:$AA$11</definedName>
    <definedName name="TABLE_11" localSheetId="4">'Cal. Cristiano'!#REF!</definedName>
    <definedName name="TABLE_11" localSheetId="3">'Cal. gregoriano'!$AE$18:$AE$19</definedName>
    <definedName name="TABLE_12" localSheetId="4">'Cal. Cristiano'!#REF!</definedName>
    <definedName name="TABLE_12" localSheetId="3">'Cal. gregoriano'!$AT$18:$AT$19</definedName>
    <definedName name="TABLE_13" localSheetId="4">'Cal. Cristiano'!#REF!</definedName>
    <definedName name="TABLE_13" localSheetId="3">'Cal. gregoriano'!#REF!</definedName>
    <definedName name="TABLE_14" localSheetId="4">'Cal. Cristiano'!#REF!</definedName>
    <definedName name="TABLE_14" localSheetId="3">'Cal. gregoriano'!$AQ$18:$AQ$19</definedName>
    <definedName name="TABLE_15" localSheetId="4">'Cal. Cristiano'!#REF!</definedName>
    <definedName name="TABLE_15" localSheetId="3">'Cal. gregoriano'!$AA$18:$AA$19</definedName>
    <definedName name="TABLE_16" localSheetId="4">'Cal. Cristiano'!#REF!</definedName>
    <definedName name="TABLE_16" localSheetId="3">'Cal. gregoriano'!#REF!</definedName>
    <definedName name="TABLE_17" localSheetId="4">'Cal. Cristiano'!#REF!</definedName>
    <definedName name="TABLE_17" localSheetId="3">'Cal. gregoriano'!$AX$18:$AX$19</definedName>
    <definedName name="TABLE_18" localSheetId="4">'Cal. Cristiano'!#REF!</definedName>
    <definedName name="TABLE_18" localSheetId="3">'Cal. gregoriano'!$AW$18:$AW$19</definedName>
    <definedName name="TABLE_19" localSheetId="4">'Cal. Cristiano'!#REF!</definedName>
    <definedName name="TABLE_19" localSheetId="3">'Cal. gregoriano'!#REF!</definedName>
    <definedName name="TABLE_2" localSheetId="4">'Cal. Cristiano'!#REF!</definedName>
    <definedName name="TABLE_2" localSheetId="3">'Cal. gregoriano'!#REF!</definedName>
    <definedName name="TABLE_20" localSheetId="4">'Cal. Cristiano'!#REF!</definedName>
    <definedName name="TABLE_20" localSheetId="3">'Cal. gregoriano'!$V$18:$V$19</definedName>
    <definedName name="TABLE_21" localSheetId="4">'Cal. Cristiano'!#REF!</definedName>
    <definedName name="TABLE_21" localSheetId="3">'Cal. gregoriano'!$AI$18:$AI$19</definedName>
    <definedName name="TABLE_22" localSheetId="4">'Cal. Cristiano'!$AD$17:$AD$18</definedName>
    <definedName name="TABLE_22" localSheetId="3">'Cal. gregoriano'!#REF!</definedName>
    <definedName name="TABLE_23" localSheetId="4">'Cal. Cristiano'!$Z$7:$AA$8</definedName>
    <definedName name="TABLE_23" localSheetId="3">'Cal. gregoriano'!$CB$8:$CC$9</definedName>
    <definedName name="TABLE_3" localSheetId="4">'Cal. Cristiano'!#REF!</definedName>
    <definedName name="TABLE_3" localSheetId="3">'Cal. gregoriano'!$AE$10:$AE$11</definedName>
    <definedName name="TABLE_4" localSheetId="4">'Cal. Cristiano'!#REF!</definedName>
    <definedName name="TABLE_4" localSheetId="3">'Cal. gregoriano'!$AE$10:$AE$11</definedName>
    <definedName name="TABLE_5" localSheetId="4">'Cal. Cristiano'!#REF!</definedName>
    <definedName name="TABLE_5" localSheetId="3">'Cal. gregoriano'!$AE$10:$AE$11</definedName>
    <definedName name="TABLE_6" localSheetId="4">'Cal. Cristiano'!#REF!</definedName>
    <definedName name="TABLE_6" localSheetId="3">'Cal. gregoriano'!$AE$10:$AE$11</definedName>
    <definedName name="TABLE_7" localSheetId="4">'Cal. Cristiano'!#REF!</definedName>
    <definedName name="TABLE_7" localSheetId="3">'Cal. gregoriano'!$AT$10:$AT$11</definedName>
    <definedName name="TABLE_8" localSheetId="4">'Cal. Cristiano'!#REF!</definedName>
    <definedName name="TABLE_8" localSheetId="3">'Cal. gregoriano'!#REF!</definedName>
    <definedName name="TABLE_9" localSheetId="4">'Cal. Cristiano'!#REF!</definedName>
    <definedName name="TABLE_9" localSheetId="3">'Cal. gregoriano'!$AQ$10:$AQ$11</definedName>
  </definedNames>
  <calcPr fullCalcOnLoad="1"/>
</workbook>
</file>

<file path=xl/sharedStrings.xml><?xml version="1.0" encoding="utf-8"?>
<sst xmlns="http://schemas.openxmlformats.org/spreadsheetml/2006/main" count="3709" uniqueCount="2309">
  <si>
    <t>Año del calendario copto:</t>
  </si>
  <si>
    <t>Año calend. musulmán</t>
  </si>
  <si>
    <t>B</t>
  </si>
  <si>
    <t>C</t>
  </si>
  <si>
    <t>D</t>
  </si>
  <si>
    <t>E</t>
  </si>
  <si>
    <t>G</t>
  </si>
  <si>
    <t>Letra dominical</t>
  </si>
  <si>
    <r>
      <t>Letra dominical (</t>
    </r>
    <r>
      <rPr>
        <i/>
        <sz val="10"/>
        <rFont val="Arial"/>
        <family val="2"/>
      </rPr>
      <t>littera dominicalis</t>
    </r>
    <r>
      <rPr>
        <sz val="10"/>
        <rFont val="Arial"/>
        <family val="2"/>
      </rPr>
      <t>):</t>
    </r>
  </si>
  <si>
    <t>Día semana</t>
  </si>
  <si>
    <t>Alemánico</t>
  </si>
  <si>
    <t>El alemánico o alamánico es el idioma o dialecto hablado en Suiza y en el suroeste de Alemania.</t>
  </si>
  <si>
    <t>Alemannisch</t>
  </si>
  <si>
    <t>Alemannic German</t>
  </si>
  <si>
    <t>Sunndig</t>
  </si>
  <si>
    <t>Mändig</t>
  </si>
  <si>
    <t>Zischdig</t>
  </si>
  <si>
    <t>Mittwuch</t>
  </si>
  <si>
    <t>Dunnschdig</t>
  </si>
  <si>
    <t>Fridig</t>
  </si>
  <si>
    <t>Samschdig</t>
  </si>
  <si>
    <t>Oschtere</t>
  </si>
  <si>
    <t>Auguscht</t>
  </si>
  <si>
    <t>Jänner</t>
  </si>
  <si>
    <t>Piamontés</t>
  </si>
  <si>
    <t>Piemontèis</t>
  </si>
  <si>
    <t>Piedmontese</t>
  </si>
  <si>
    <t>Inglés --&gt;</t>
  </si>
  <si>
    <t>Màrtes</t>
  </si>
  <si>
    <t>Vënner</t>
  </si>
  <si>
    <t>Gené</t>
  </si>
  <si>
    <t>Merco</t>
  </si>
  <si>
    <t>Magg</t>
  </si>
  <si>
    <t>Otóber</t>
  </si>
  <si>
    <t>Saba</t>
  </si>
  <si>
    <t>Novèmber</t>
  </si>
  <si>
    <t>Domìnica</t>
  </si>
  <si>
    <t>Stèmber</t>
  </si>
  <si>
    <t>Luj</t>
  </si>
  <si>
    <t>Giugn</t>
  </si>
  <si>
    <t>Fèrvé</t>
  </si>
  <si>
    <t>Giòbia</t>
  </si>
  <si>
    <t>Dzèmber</t>
  </si>
  <si>
    <t>Día del Estudiante</t>
  </si>
  <si>
    <t>Día del Trabajo</t>
  </si>
  <si>
    <t>Día de la Hispanidad</t>
  </si>
  <si>
    <t>Día Internacional de la Mujer</t>
  </si>
  <si>
    <t>Día de la Tradición (Argentina)</t>
  </si>
  <si>
    <t>Día de la Bandera (Argentina)</t>
  </si>
  <si>
    <t>Día del Animal (Argentina)</t>
  </si>
  <si>
    <t>Día del Maestro (Argentina)</t>
  </si>
  <si>
    <t>Día del Amigo</t>
  </si>
  <si>
    <t>Primer Gobierno Patrio (Argentina)</t>
  </si>
  <si>
    <t>Día de la Independencia (Argentina)</t>
  </si>
  <si>
    <t>Día de la Conservación del Suelo (Argentina)</t>
  </si>
  <si>
    <t>Día del Ingeniero Agrónomo y del Médico Veterinario</t>
  </si>
  <si>
    <t>Día del Periodista (Argentina)</t>
  </si>
  <si>
    <t>Día de la Tierra (Internacional)</t>
  </si>
  <si>
    <t>Día del Arbol (Argentina)</t>
  </si>
  <si>
    <t>Españo; --&gt;</t>
  </si>
  <si>
    <r>
      <rPr>
        <i/>
        <sz val="10"/>
        <rFont val="Arial"/>
        <family val="2"/>
      </rPr>
      <t>Scots</t>
    </r>
    <r>
      <rPr>
        <sz val="10"/>
        <rFont val="Arial"/>
        <family val="2"/>
      </rPr>
      <t xml:space="preserve"> es la lengua (o dialecto del inglés) hablada en las tierras bajas de Escocia.</t>
    </r>
  </si>
  <si>
    <t>Conmemoración</t>
  </si>
  <si>
    <t>Día del Himno Nacional Argentino</t>
  </si>
  <si>
    <t>Día del Ejército Argentino</t>
  </si>
  <si>
    <t>Día del Escudo Nacional Argentino</t>
  </si>
  <si>
    <r>
      <rPr>
        <b/>
        <sz val="10"/>
        <rFont val="Arial"/>
        <family val="2"/>
      </rPr>
      <t>Gestación</t>
    </r>
    <r>
      <rPr>
        <sz val="10"/>
        <rFont val="Arial"/>
        <family val="2"/>
      </rPr>
      <t>: período emtre la fecundación y el nacimiento.</t>
    </r>
  </si>
  <si>
    <t>Golondrina</t>
  </si>
  <si>
    <t>Hirundo rustica</t>
  </si>
  <si>
    <t>Garza mora</t>
  </si>
  <si>
    <t>Ardea cocoi</t>
  </si>
  <si>
    <t>Garza blanca</t>
  </si>
  <si>
    <t>Ardea alba</t>
  </si>
  <si>
    <t>Cigüeña</t>
  </si>
  <si>
    <t>Ciconia maguari</t>
  </si>
  <si>
    <t>2-3</t>
  </si>
  <si>
    <t>Loro hablador</t>
  </si>
  <si>
    <t>Amazona aestiva</t>
  </si>
  <si>
    <t>Lechucita pampa</t>
  </si>
  <si>
    <t>Athene cunicularia</t>
  </si>
  <si>
    <t>Sin.: lechucita vizcachera</t>
  </si>
  <si>
    <t>Tacuarita</t>
  </si>
  <si>
    <t>Troglodytes aedon</t>
  </si>
  <si>
    <t>2-8</t>
  </si>
  <si>
    <t>Paroaria coronata</t>
  </si>
  <si>
    <t>Cardenal común</t>
  </si>
  <si>
    <t>Choique</t>
  </si>
  <si>
    <t>Rhea pennata</t>
  </si>
  <si>
    <t>Sin.: ñandú petiso o patagónico</t>
  </si>
  <si>
    <t>Crespín</t>
  </si>
  <si>
    <t>Tapera naevia</t>
  </si>
  <si>
    <t>Pájaro campana</t>
  </si>
  <si>
    <t>Procnias nudicollis</t>
  </si>
  <si>
    <t>Yak</t>
  </si>
  <si>
    <t>Bos mutus</t>
  </si>
  <si>
    <t>Gayal</t>
  </si>
  <si>
    <t>Bos frontalis</t>
  </si>
  <si>
    <t>Siembra a emergencia</t>
  </si>
  <si>
    <t>Emergencia a floración</t>
  </si>
  <si>
    <t>Emergencia a madurez</t>
  </si>
  <si>
    <t>al viernes 15/10. España, Portugal e Italia adoptan esta reforma inmediatamente; Francia y sus colonias, los Países Bajos y Bélgica</t>
  </si>
  <si>
    <t>lo hacen más tarde en el mismo año y las zonas católicas de Alemania y Austria en el siguiente.</t>
  </si>
  <si>
    <t>En las posesiones españolas de ultramar se adopta en 1583. En el Virreinato del Perú recién en 1584.</t>
  </si>
  <si>
    <r>
      <rPr>
        <b/>
        <sz val="10"/>
        <rFont val="Arial"/>
        <family val="2"/>
      </rPr>
      <t>Nidada</t>
    </r>
    <r>
      <rPr>
        <sz val="10"/>
        <rFont val="Arial"/>
        <family val="2"/>
      </rPr>
      <t>: conjunto de huevos que pone un ave para empollar.</t>
    </r>
  </si>
  <si>
    <r>
      <rPr>
        <b/>
        <sz val="10"/>
        <rFont val="Arial"/>
        <family val="2"/>
      </rPr>
      <t>Período de incubación</t>
    </r>
    <r>
      <rPr>
        <sz val="10"/>
        <rFont val="Arial"/>
        <family val="2"/>
      </rPr>
      <t>: duración de la empollada en aves hasta el nacimiento.</t>
    </r>
  </si>
  <si>
    <t>DESARROLLO DE LOS CULTIVOS DE CEREALES Y OLEAGINOSAS EN LA REGION PAMPEANA ARGENTINA</t>
  </si>
  <si>
    <t>Emergencia a cosecha</t>
  </si>
  <si>
    <t>Trigo</t>
  </si>
  <si>
    <t>Duración de los períodos (días)</t>
  </si>
  <si>
    <t>Lugar</t>
  </si>
  <si>
    <t>Región</t>
  </si>
  <si>
    <t>Largo</t>
  </si>
  <si>
    <t>Largo-int.</t>
  </si>
  <si>
    <t>Corto-Int.</t>
  </si>
  <si>
    <t>Corto</t>
  </si>
  <si>
    <t>Estimación propia</t>
  </si>
  <si>
    <t>S-Es</t>
  </si>
  <si>
    <t>Es-M</t>
  </si>
  <si>
    <t>Tot.</t>
  </si>
  <si>
    <t>S-Em</t>
  </si>
  <si>
    <t>M-C</t>
  </si>
  <si>
    <t>II N</t>
  </si>
  <si>
    <t>Promedio</t>
  </si>
  <si>
    <t>Pergamino 13/14</t>
  </si>
  <si>
    <t>Pergamino 12/13</t>
  </si>
  <si>
    <t>Pergamino 11/12</t>
  </si>
  <si>
    <t>Modal</t>
  </si>
  <si>
    <t>Barrow 13/14</t>
  </si>
  <si>
    <t>IV</t>
  </si>
  <si>
    <t>Barrow 12/13</t>
  </si>
  <si>
    <t>Barrow 11/12</t>
  </si>
  <si>
    <t>S-Es: días de siembra a espigazón</t>
  </si>
  <si>
    <t>Es-M: días de espigazón a madurez (comercial)</t>
  </si>
  <si>
    <t>Tot.: días totales</t>
  </si>
  <si>
    <t>Total en días:</t>
  </si>
  <si>
    <t>Total en años completos:</t>
  </si>
  <si>
    <t>Fecha (sólo a partir de 1900):</t>
  </si>
  <si>
    <t>Cultivo:</t>
  </si>
  <si>
    <t>Especie:</t>
  </si>
  <si>
    <t>Cosecha:</t>
  </si>
  <si>
    <t>de</t>
  </si>
  <si>
    <t>a</t>
  </si>
  <si>
    <t>http://www.inase.gov.ar/index.php?option=com_content&amp;view=article&amp;id=102&amp;Itemid=91</t>
  </si>
  <si>
    <t>Fuente: Compilado de INASE, Red de Ensayos Territoriales.</t>
  </si>
  <si>
    <t>M. Juárez 13/14</t>
  </si>
  <si>
    <t>M. Juárez 12/13</t>
  </si>
  <si>
    <t>M. Juárez 11/12</t>
  </si>
  <si>
    <t>Total en meses completos:</t>
  </si>
  <si>
    <t>Soja Grupo III</t>
  </si>
  <si>
    <t>Soja Grupo IV</t>
  </si>
  <si>
    <t>Soja Grupo V</t>
  </si>
  <si>
    <t>Soja Grupo VI</t>
  </si>
  <si>
    <t>Tot. (S-M)</t>
  </si>
  <si>
    <t xml:space="preserve">De </t>
  </si>
  <si>
    <t>E-Com. Fl</t>
  </si>
  <si>
    <t>Com. Fl.-M</t>
  </si>
  <si>
    <t>Ciclo sexual</t>
  </si>
  <si>
    <t>Tipo</t>
  </si>
  <si>
    <t>PE/mv</t>
  </si>
  <si>
    <t>P</t>
  </si>
  <si>
    <t>PE</t>
  </si>
  <si>
    <t>PP</t>
  </si>
  <si>
    <t>M/mv</t>
  </si>
  <si>
    <t>PEP</t>
  </si>
  <si>
    <t>Chinchilla brevicaudata</t>
  </si>
  <si>
    <t>Chinchilla lanígera</t>
  </si>
  <si>
    <t>Hamster</t>
  </si>
  <si>
    <r>
      <t>Ciclo sexual</t>
    </r>
    <r>
      <rPr>
        <sz val="10"/>
        <rFont val="Arial"/>
        <family val="0"/>
      </rPr>
      <t>: período entre celos.</t>
    </r>
  </si>
  <si>
    <r>
      <rPr>
        <b/>
        <sz val="10"/>
        <rFont val="Arial"/>
        <family val="2"/>
      </rPr>
      <t>Estro (o duración del celo)</t>
    </r>
    <r>
      <rPr>
        <sz val="10"/>
        <rFont val="Arial"/>
        <family val="2"/>
      </rPr>
      <t>: período en que las hembras de los mamíferos son sexualmente receptivas.</t>
    </r>
  </si>
  <si>
    <r>
      <t>Tipo de ciclo sexual</t>
    </r>
    <r>
      <rPr>
        <sz val="10"/>
        <rFont val="Arial"/>
        <family val="0"/>
      </rPr>
      <t>: M: monoestrual. P: poliestrual durante todo el año, PE: poliestrual estacional; PEP: poliestrual estacional provocado,</t>
    </r>
  </si>
  <si>
    <t xml:space="preserve">   PP: poliestrual provocado, mv: muy variable en su duración.</t>
  </si>
  <si>
    <t>Domingo</t>
  </si>
  <si>
    <t>Lunes</t>
  </si>
  <si>
    <t>Martes</t>
  </si>
  <si>
    <t>Miércoles</t>
  </si>
  <si>
    <t>Jueves</t>
  </si>
  <si>
    <t>Viernes</t>
  </si>
  <si>
    <t>Sábado</t>
  </si>
  <si>
    <t>M =</t>
  </si>
  <si>
    <t xml:space="preserve">N = </t>
  </si>
  <si>
    <t>D =</t>
  </si>
  <si>
    <t>E =</t>
  </si>
  <si>
    <t>Pascua:</t>
  </si>
  <si>
    <t xml:space="preserve">F (1/1) = </t>
  </si>
  <si>
    <t>Cálculos auxiliares para la fecha de la Pascua</t>
  </si>
  <si>
    <t>Mes</t>
  </si>
  <si>
    <t>F</t>
  </si>
  <si>
    <t>Día</t>
  </si>
  <si>
    <t>Tabla auxiliar cálculo día semana de cada primero mes</t>
  </si>
  <si>
    <t>Nombre de los días</t>
  </si>
  <si>
    <t>Enero</t>
  </si>
  <si>
    <t>Llama</t>
  </si>
  <si>
    <t>vestimenta, fuerza de trabajo, transporte o compañía).</t>
  </si>
  <si>
    <t>Soja</t>
  </si>
  <si>
    <t>S-E</t>
  </si>
  <si>
    <t>S: Siembra</t>
  </si>
  <si>
    <t>C: cosecha</t>
  </si>
  <si>
    <t>E: emergencia (VE)</t>
  </si>
  <si>
    <t>Com. Fl.: Comienzo floración (R1)</t>
  </si>
  <si>
    <t>M: madurez (R8)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</si>
  <si>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</si>
  <si>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</si>
  <si>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</si>
  <si>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</si>
  <si>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</si>
  <si>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</si>
  <si>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</si>
  <si>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</si>
  <si>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</si>
  <si>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</si>
  <si>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</si>
  <si>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Calendae</t>
  </si>
  <si>
    <t>Nonae</t>
  </si>
  <si>
    <t>Idus</t>
  </si>
  <si>
    <t>Solis Dies</t>
  </si>
  <si>
    <t>Lunae Dies</t>
  </si>
  <si>
    <t>Martis Dies</t>
  </si>
  <si>
    <t>Jovis Dies</t>
  </si>
  <si>
    <t>Veneris Dies</t>
  </si>
  <si>
    <t>Saturni Dies</t>
  </si>
  <si>
    <t>Mercurii Dies</t>
  </si>
  <si>
    <t>(antes de Cristo con signo negativo)</t>
  </si>
  <si>
    <r>
      <t xml:space="preserve">El nombre del mes </t>
    </r>
    <r>
      <rPr>
        <i/>
        <sz val="10"/>
        <rFont val="Arial"/>
        <family val="2"/>
      </rPr>
      <t>Sextilis</t>
    </r>
    <r>
      <rPr>
        <sz val="10"/>
        <rFont val="Arial"/>
        <family val="0"/>
      </rPr>
      <t xml:space="preserve"> fue cambiado por </t>
    </r>
    <r>
      <rPr>
        <i/>
        <sz val="10"/>
        <rFont val="Arial"/>
        <family val="2"/>
      </rPr>
      <t>Augustus</t>
    </r>
    <r>
      <rPr>
        <sz val="10"/>
        <rFont val="Arial"/>
        <family val="0"/>
      </rPr>
      <t xml:space="preserve"> por decreto del senado del año 23 a.C., en honor del primer emperador.</t>
    </r>
  </si>
  <si>
    <t>Marco Terencio Varron que la introdujo en el año 43 a.C.</t>
  </si>
  <si>
    <r>
      <t>La era romana ("</t>
    </r>
    <r>
      <rPr>
        <i/>
        <sz val="10"/>
        <rFont val="Arial"/>
        <family val="2"/>
      </rPr>
      <t>ab urbe condita</t>
    </r>
    <r>
      <rPr>
        <sz val="10"/>
        <rFont val="Arial"/>
        <family val="0"/>
      </rPr>
      <t>") se inicia en el año 753 a.C. año de la fundación de Roma. Esta forma de contar se debe a</t>
    </r>
  </si>
  <si>
    <r>
      <t>Quintilis</t>
    </r>
    <r>
      <rPr>
        <sz val="10"/>
        <rFont val="Arial"/>
        <family val="0"/>
      </rPr>
      <t xml:space="preserve"> es el nombre primitivo del mes, que fue cambiado por</t>
    </r>
    <r>
      <rPr>
        <i/>
        <sz val="10"/>
        <rFont val="Arial"/>
        <family val="2"/>
      </rPr>
      <t xml:space="preserve"> Iulius</t>
    </r>
    <r>
      <rPr>
        <sz val="10"/>
        <rFont val="Arial"/>
        <family val="0"/>
      </rPr>
      <t xml:space="preserve"> en honor de Julio César a partir del año 44 a.C..</t>
    </r>
  </si>
  <si>
    <t>Constantino I El Grande, que implantó la semana de siete días, usual entre los judíos y el antiguo Egipto.</t>
  </si>
  <si>
    <t>La numeración de los años de acuerdo a la era cristiana recién se impuso a principios del siglo VII cuando el papa Bonifacio IV la adoptó.</t>
  </si>
  <si>
    <t>de cálculo del monje Dionisio el Exiguo en el siglo VI.</t>
  </si>
  <si>
    <t>En realidad, el año de nacimiento de Cristo no es el año 1 de la era cristiana sino unos 4 ó 5 años antes. El año 1 de adoptó por un error</t>
  </si>
  <si>
    <t>César el año 46 a.C.</t>
  </si>
  <si>
    <t>El calendario romano presentado aquí rige en realidad recién a partir del año 45 a.C., después de la reforma dispuesta por Julio</t>
  </si>
  <si>
    <r>
      <t xml:space="preserve">En Roma no había semanas. El primer día del mes se denominaba </t>
    </r>
    <r>
      <rPr>
        <b/>
        <i/>
        <sz val="10"/>
        <color indexed="10"/>
        <rFont val="Arial"/>
        <family val="2"/>
      </rPr>
      <t>calendae</t>
    </r>
    <r>
      <rPr>
        <sz val="10"/>
        <rFont val="Arial"/>
        <family val="0"/>
      </rPr>
      <t xml:space="preserve">; el quinto o sexto (según el mes) </t>
    </r>
    <r>
      <rPr>
        <b/>
        <i/>
        <sz val="10"/>
        <color indexed="57"/>
        <rFont val="Arial"/>
        <family val="2"/>
      </rPr>
      <t>nonae</t>
    </r>
    <r>
      <rPr>
        <sz val="10"/>
        <rFont val="Arial"/>
        <family val="0"/>
      </rPr>
      <t xml:space="preserve"> y el 13 ó</t>
    </r>
  </si>
  <si>
    <r>
      <t xml:space="preserve">de la </t>
    </r>
    <r>
      <rPr>
        <b/>
        <i/>
        <sz val="10"/>
        <color indexed="57"/>
        <rFont val="Arial"/>
        <family val="2"/>
      </rPr>
      <t>nonae</t>
    </r>
    <r>
      <rPr>
        <sz val="10"/>
        <rFont val="Arial"/>
        <family val="0"/>
      </rPr>
      <t xml:space="preserve"> de diciembre; el 31 de diciembre era el día anterior o víspera (</t>
    </r>
    <r>
      <rPr>
        <i/>
        <sz val="10"/>
        <rFont val="Arial"/>
        <family val="2"/>
      </rPr>
      <t>pridie</t>
    </r>
    <r>
      <rPr>
        <sz val="10"/>
        <rFont val="Arial"/>
        <family val="0"/>
      </rPr>
      <t xml:space="preserve">) de las </t>
    </r>
    <r>
      <rPr>
        <b/>
        <i/>
        <sz val="10"/>
        <color indexed="10"/>
        <rFont val="Arial"/>
        <family val="2"/>
      </rPr>
      <t>calendae</t>
    </r>
    <r>
      <rPr>
        <sz val="10"/>
        <rFont val="Arial"/>
        <family val="0"/>
      </rPr>
      <t xml:space="preserve"> de enero.</t>
    </r>
  </si>
  <si>
    <t>El año comenzaba en marzo; por tal razón septiembre es el séptimo mes del año, y así sucesivamente.</t>
  </si>
  <si>
    <t>Días</t>
  </si>
  <si>
    <t>Español</t>
  </si>
  <si>
    <t>Idioma:</t>
  </si>
  <si>
    <t>Sunday</t>
  </si>
  <si>
    <t>Monday</t>
  </si>
  <si>
    <t>Tuesday</t>
  </si>
  <si>
    <t>Friday</t>
  </si>
  <si>
    <t>Saturday</t>
  </si>
  <si>
    <t>Deutsch</t>
  </si>
  <si>
    <t>English</t>
  </si>
  <si>
    <t>Sonntag</t>
  </si>
  <si>
    <t>Montag</t>
  </si>
  <si>
    <t>Dienstag</t>
  </si>
  <si>
    <t>Mittwoch</t>
  </si>
  <si>
    <t>Donnerstag</t>
  </si>
  <si>
    <t>Freitag</t>
  </si>
  <si>
    <t>Samstag</t>
  </si>
  <si>
    <t>Meses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</si>
  <si>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</si>
  <si>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</si>
  <si>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</si>
  <si>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</si>
  <si>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</si>
  <si>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</si>
  <si>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</si>
  <si>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</si>
  <si>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</si>
  <si>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</si>
  <si>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</si>
  <si>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</si>
  <si>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</t>
  </si>
  <si>
    <t>Februar</t>
  </si>
  <si>
    <t>März</t>
  </si>
  <si>
    <t>Mai</t>
  </si>
  <si>
    <t>Juni</t>
  </si>
  <si>
    <t>Juli</t>
  </si>
  <si>
    <t>Oktober</t>
  </si>
  <si>
    <t>Dezember</t>
  </si>
  <si>
    <t>Wednesday</t>
  </si>
  <si>
    <t>Thursday</t>
  </si>
  <si>
    <t>Nederlands</t>
  </si>
  <si>
    <t>Zondag</t>
  </si>
  <si>
    <t>Dinsdag</t>
  </si>
  <si>
    <t>Woensdag</t>
  </si>
  <si>
    <t>Donderdag</t>
  </si>
  <si>
    <t>Zaterdag</t>
  </si>
  <si>
    <t>Vrijdag</t>
  </si>
  <si>
    <t>Maandag</t>
  </si>
  <si>
    <t>Fecha de nacimiento en aves domésticas y silvestres</t>
  </si>
  <si>
    <t>Estimación propia madurez fisiológica a cosecha: en Reg. II N 20-25 días, en Reg. IV 15-25 días</t>
  </si>
  <si>
    <t>Estimación propia siembra a emergencia: en Reg. II N 15-20 días, en Reg. IV 20-25 días</t>
  </si>
  <si>
    <r>
      <t>Cosecha o madurez comercial:</t>
    </r>
    <r>
      <rPr>
        <sz val="10"/>
        <rFont val="Arial"/>
        <family val="2"/>
      </rPr>
      <t xml:space="preserve"> cuando el cultivo alcanza la humedad adecuada para su comercialización.</t>
    </r>
  </si>
  <si>
    <t>Januari</t>
  </si>
  <si>
    <t>Februari</t>
  </si>
  <si>
    <t>Maart</t>
  </si>
  <si>
    <t>Mei</t>
  </si>
  <si>
    <t>Augustus</t>
  </si>
  <si>
    <t>Svenska</t>
  </si>
  <si>
    <t>Dansk</t>
  </si>
  <si>
    <t>Italiano</t>
  </si>
  <si>
    <t>Portugués</t>
  </si>
  <si>
    <t>Latino</t>
  </si>
  <si>
    <t>Söndag</t>
  </si>
  <si>
    <t>Mándag</t>
  </si>
  <si>
    <t>Tisdag</t>
  </si>
  <si>
    <t>Onsdag</t>
  </si>
  <si>
    <t>Torsdag</t>
  </si>
  <si>
    <t>Fredag</t>
  </si>
  <si>
    <t>Lördag</t>
  </si>
  <si>
    <t>Mars</t>
  </si>
  <si>
    <t>Maj</t>
  </si>
  <si>
    <t>Augusti</t>
  </si>
  <si>
    <t>Français</t>
  </si>
  <si>
    <t>Søndag</t>
  </si>
  <si>
    <t>Mandag</t>
  </si>
  <si>
    <t>Tirsdag</t>
  </si>
  <si>
    <t>Lørdag</t>
  </si>
  <si>
    <t>Marts</t>
  </si>
  <si>
    <t>Dimanche</t>
  </si>
  <si>
    <t>Lundi</t>
  </si>
  <si>
    <t>Mardi</t>
  </si>
  <si>
    <t>Mercredi</t>
  </si>
  <si>
    <t>Jeudi</t>
  </si>
  <si>
    <t>Vendredi</t>
  </si>
  <si>
    <t>Samedi</t>
  </si>
  <si>
    <t>Janvier</t>
  </si>
  <si>
    <t>Février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</si>
  <si>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</si>
  <si>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</si>
  <si>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</si>
  <si>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</si>
  <si>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</si>
  <si>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</si>
  <si>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</si>
  <si>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</si>
  <si>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Domenica</t>
  </si>
  <si>
    <t>Lunedi</t>
  </si>
  <si>
    <t>Martedi</t>
  </si>
  <si>
    <t>Mercoledi</t>
  </si>
  <si>
    <t>Giovedi</t>
  </si>
  <si>
    <t>Venerdi</t>
  </si>
  <si>
    <t>Sabato</t>
  </si>
  <si>
    <t>Gennaio</t>
  </si>
  <si>
    <t>Febbraio</t>
  </si>
  <si>
    <t>Aprile</t>
  </si>
  <si>
    <t>Maggio</t>
  </si>
  <si>
    <t>Giugno</t>
  </si>
  <si>
    <t>Luglio</t>
  </si>
  <si>
    <t>Settembre</t>
  </si>
  <si>
    <t>Ottobre</t>
  </si>
  <si>
    <t>Dicembre</t>
  </si>
  <si>
    <t>Segunda-feira</t>
  </si>
  <si>
    <t>Terça-feira</t>
  </si>
  <si>
    <t>Quarta-feira</t>
  </si>
  <si>
    <t>Quinta-feira</t>
  </si>
  <si>
    <t>Sexta-feira</t>
  </si>
  <si>
    <t>Janeiro</t>
  </si>
  <si>
    <t>Fevereiro</t>
  </si>
  <si>
    <t>Março</t>
  </si>
  <si>
    <t>Maio</t>
  </si>
  <si>
    <t>Junho</t>
  </si>
  <si>
    <t>Julho</t>
  </si>
  <si>
    <t>Setembro</t>
  </si>
  <si>
    <t>Outubro</t>
  </si>
  <si>
    <t>Novembro</t>
  </si>
  <si>
    <t>Dezembro</t>
  </si>
  <si>
    <t>Ianuarius</t>
  </si>
  <si>
    <t>Februarius</t>
  </si>
  <si>
    <t>Martius</t>
  </si>
  <si>
    <t>Aprilis</t>
  </si>
  <si>
    <t>Maius</t>
  </si>
  <si>
    <t>Iunius</t>
  </si>
  <si>
    <t>Iulius</t>
  </si>
  <si>
    <t>Sunnuntai</t>
  </si>
  <si>
    <t>Maanantai</t>
  </si>
  <si>
    <t>Tiistai</t>
  </si>
  <si>
    <t>Keskiviikko</t>
  </si>
  <si>
    <t>Torstai</t>
  </si>
  <si>
    <t>Perjantai</t>
  </si>
  <si>
    <t>Lauantai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</si>
  <si>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</si>
  <si>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</si>
  <si>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</si>
  <si>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</si>
  <si>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</si>
  <si>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</si>
  <si>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</si>
  <si>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</si>
  <si>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</si>
  <si>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</si>
  <si>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</si>
  <si>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Joulokuu</t>
  </si>
  <si>
    <t>Vasárnap</t>
  </si>
  <si>
    <t>Hétfõ</t>
  </si>
  <si>
    <t>Inglés</t>
  </si>
  <si>
    <t>Alemán</t>
  </si>
  <si>
    <t>Holandés</t>
  </si>
  <si>
    <t>Sueco</t>
  </si>
  <si>
    <t>Danés</t>
  </si>
  <si>
    <t>Francés</t>
  </si>
  <si>
    <t>Latín</t>
  </si>
  <si>
    <t>Finés</t>
  </si>
  <si>
    <t>Hrvatsko</t>
  </si>
  <si>
    <t>Ponedjljak</t>
  </si>
  <si>
    <t>Utorak</t>
  </si>
  <si>
    <t>Srijeda</t>
  </si>
  <si>
    <t>Cetvrtak</t>
  </si>
  <si>
    <t>Petak</t>
  </si>
  <si>
    <t>Subota</t>
  </si>
  <si>
    <t>Nedjelja</t>
  </si>
  <si>
    <t>Croata</t>
  </si>
  <si>
    <t>Jun</t>
  </si>
  <si>
    <t>Jul</t>
  </si>
  <si>
    <t>Rujan</t>
  </si>
  <si>
    <t>Listopad</t>
  </si>
  <si>
    <t>Novembar</t>
  </si>
  <si>
    <t>Decembar</t>
  </si>
  <si>
    <t>Polski</t>
  </si>
  <si>
    <t>Sobota</t>
  </si>
  <si>
    <t>Piatek</t>
  </si>
  <si>
    <t>Niedziela</t>
  </si>
  <si>
    <t>Czwartek</t>
  </si>
  <si>
    <t>Sroda</t>
  </si>
  <si>
    <t>Poniedzialek</t>
  </si>
  <si>
    <t>Wtorek</t>
  </si>
  <si>
    <t>Polaco</t>
  </si>
  <si>
    <t>Styczen</t>
  </si>
  <si>
    <t>Luty</t>
  </si>
  <si>
    <t>Marzec</t>
  </si>
  <si>
    <t>Kwiecien</t>
  </si>
  <si>
    <t>Czerwiec</t>
  </si>
  <si>
    <t>Lipiec</t>
  </si>
  <si>
    <t>Sierpien</t>
  </si>
  <si>
    <t>Wrzesien</t>
  </si>
  <si>
    <t>Pazdziernik</t>
  </si>
  <si>
    <t>Grudzien</t>
  </si>
  <si>
    <t>Día de la Escarapela (Argentina)</t>
  </si>
  <si>
    <t>Mustela putorius furo</t>
  </si>
  <si>
    <t>Mesocricetus auratus</t>
  </si>
  <si>
    <t>Hamster dorado</t>
  </si>
  <si>
    <t>Edad de la luna (para la fecha indicada):</t>
  </si>
  <si>
    <t>Vizcacha</t>
  </si>
  <si>
    <t>M</t>
  </si>
  <si>
    <t>Lagotomus maximus</t>
  </si>
  <si>
    <t>Declarada plaga</t>
  </si>
  <si>
    <t>Comadreja overa</t>
  </si>
  <si>
    <t>Didelphis albiventris</t>
  </si>
  <si>
    <t>Reno</t>
  </si>
  <si>
    <t>Rangifer tarandus</t>
  </si>
  <si>
    <t>Caribú (subespecie americana)</t>
  </si>
  <si>
    <t>5-6</t>
  </si>
  <si>
    <t>Día de la Soberanía Nacional (Argentina)</t>
  </si>
  <si>
    <t>Día Nacional de la Memoria por la Verdad y la Justicia (Arg.)</t>
  </si>
  <si>
    <t>Paso a la Inmortalidad del Libertador Gral. San Martín (Arg.)</t>
  </si>
  <si>
    <t>Martineta</t>
  </si>
  <si>
    <t>Eudromia elegans</t>
  </si>
  <si>
    <t>12-14</t>
  </si>
  <si>
    <t>Tordo</t>
  </si>
  <si>
    <t>Molothrus bonariensis</t>
  </si>
  <si>
    <t>Calandria</t>
  </si>
  <si>
    <t>Mimus saturninus</t>
  </si>
  <si>
    <r>
      <t>En negrita</t>
    </r>
    <r>
      <rPr>
        <sz val="10"/>
        <rFont val="Arial"/>
        <family val="0"/>
      </rPr>
      <t>: Animales domésticos (entendiendo por tales los que cría y mejora el hombre en su beneficio, ya sea para alimentación,</t>
    </r>
  </si>
  <si>
    <t>s.d.</t>
  </si>
  <si>
    <t>Sin datos sobre incubación</t>
  </si>
  <si>
    <t>Albanés</t>
  </si>
  <si>
    <t>Albanian</t>
  </si>
  <si>
    <t>Shqipe</t>
  </si>
  <si>
    <t>Diel</t>
  </si>
  <si>
    <t>Hënë</t>
  </si>
  <si>
    <t>Martë</t>
  </si>
  <si>
    <t>Mërkurë</t>
  </si>
  <si>
    <t>Premte</t>
  </si>
  <si>
    <t>Shtunë</t>
  </si>
  <si>
    <t>Emergencia-panojamiento: datos de Balcarce (BA) publicados por:</t>
  </si>
  <si>
    <t>Bodega, J. L. et. al. Análisis comparativo de rendimiento de semillas y otras características de interés agronómicas en poblaciones locales y cultivares introducidos de alpite. Rev. Fac. Agronomía (BA) 23(2-3):147-154. 2003.</t>
  </si>
  <si>
    <t>Prill</t>
  </si>
  <si>
    <t>Maji</t>
  </si>
  <si>
    <t>Qershor</t>
  </si>
  <si>
    <t>Korrik</t>
  </si>
  <si>
    <t>Gusht</t>
  </si>
  <si>
    <t>Tetor</t>
  </si>
  <si>
    <t>Nëntor</t>
  </si>
  <si>
    <t>Enjte</t>
  </si>
  <si>
    <t>Janar</t>
  </si>
  <si>
    <t>Shkurt</t>
  </si>
  <si>
    <t>Shtator</t>
  </si>
  <si>
    <t>Dhjetor</t>
  </si>
  <si>
    <t>Sönndach</t>
  </si>
  <si>
    <t>Moandach</t>
  </si>
  <si>
    <t>Diengsdach</t>
  </si>
  <si>
    <t>Middewääk</t>
  </si>
  <si>
    <t>Dönnerdach</t>
  </si>
  <si>
    <t>Freedach</t>
  </si>
  <si>
    <t>Soaterdach</t>
  </si>
  <si>
    <t>Hartmand</t>
  </si>
  <si>
    <t>Februor</t>
  </si>
  <si>
    <t>Lentmaant</t>
  </si>
  <si>
    <t>Aprell</t>
  </si>
  <si>
    <t>Maimaand</t>
  </si>
  <si>
    <t>Braakmaand</t>
  </si>
  <si>
    <t>Haumaand</t>
  </si>
  <si>
    <t>Aarmaand</t>
  </si>
  <si>
    <t>Harfstmaand</t>
  </si>
  <si>
    <t>Nevelmaand</t>
  </si>
  <si>
    <t>Christmaand</t>
  </si>
  <si>
    <t>Austern</t>
  </si>
  <si>
    <t>Plattdüütsch</t>
  </si>
  <si>
    <t>Bajo alemán</t>
  </si>
  <si>
    <t>Low saxon</t>
  </si>
  <si>
    <t>Dingsdag</t>
  </si>
  <si>
    <t>Solmonað</t>
  </si>
  <si>
    <t>Maltés</t>
  </si>
  <si>
    <t>Awwissu</t>
  </si>
  <si>
    <t>Dicembru</t>
  </si>
  <si>
    <t>l-Ghid</t>
  </si>
  <si>
    <t>Frar</t>
  </si>
  <si>
    <t>Gimgha</t>
  </si>
  <si>
    <t>Jannar</t>
  </si>
  <si>
    <t>Marzu</t>
  </si>
  <si>
    <t>Mejju</t>
  </si>
  <si>
    <t>Lulju</t>
  </si>
  <si>
    <t>Gunju</t>
  </si>
  <si>
    <t>it-Tnejn</t>
  </si>
  <si>
    <t>Novembru</t>
  </si>
  <si>
    <t>Ottubru</t>
  </si>
  <si>
    <t>Sibt</t>
  </si>
  <si>
    <t>Settembru</t>
  </si>
  <si>
    <t>il-Hadd</t>
  </si>
  <si>
    <t>il-Hamis</t>
  </si>
  <si>
    <t>it-Tlieta</t>
  </si>
  <si>
    <t>l-Erbgha</t>
  </si>
  <si>
    <t>Malti</t>
  </si>
  <si>
    <t>Maltese</t>
  </si>
  <si>
    <t>Idioma hablado en la isla de Malta. Tiene dialectos.</t>
  </si>
  <si>
    <t>Inti uru</t>
  </si>
  <si>
    <t>Phajsi uru</t>
  </si>
  <si>
    <t>Sajra uru</t>
  </si>
  <si>
    <t>Pacha uru</t>
  </si>
  <si>
    <t>Illapa uru</t>
  </si>
  <si>
    <t>Nanqha uru</t>
  </si>
  <si>
    <t>Samaña uru</t>
  </si>
  <si>
    <t>Kamay phajsi</t>
  </si>
  <si>
    <t>Kajmay phajsi</t>
  </si>
  <si>
    <t>Marka qhulliwi</t>
  </si>
  <si>
    <t>Jupha llamayu</t>
  </si>
  <si>
    <t>Jacha auti</t>
  </si>
  <si>
    <t>Jacha chimu</t>
  </si>
  <si>
    <t>Jiska chimu</t>
  </si>
  <si>
    <t>Kasu laphaqa</t>
  </si>
  <si>
    <t>Satawi laphaqa</t>
  </si>
  <si>
    <t>Waña pacha</t>
  </si>
  <si>
    <t>Uma Pacha</t>
  </si>
  <si>
    <t>Aymara</t>
  </si>
  <si>
    <t>Aimara</t>
  </si>
  <si>
    <t>Amqa llamayu</t>
  </si>
  <si>
    <t>Aimará (Bolivia)</t>
  </si>
  <si>
    <t>Augusztus</t>
  </si>
  <si>
    <t>Február</t>
  </si>
  <si>
    <t>Január</t>
  </si>
  <si>
    <t>Július</t>
  </si>
  <si>
    <t>Június</t>
  </si>
  <si>
    <t>Május</t>
  </si>
  <si>
    <t>Március</t>
  </si>
  <si>
    <t>Október</t>
  </si>
  <si>
    <t>Szeptember</t>
  </si>
  <si>
    <t>Rumano</t>
  </si>
  <si>
    <t>Aprilie</t>
  </si>
  <si>
    <t>Decembrie</t>
  </si>
  <si>
    <t>Februarie</t>
  </si>
  <si>
    <t>Ianuarie</t>
  </si>
  <si>
    <t>Julie</t>
  </si>
  <si>
    <t>Junie</t>
  </si>
  <si>
    <t>Martie</t>
  </si>
  <si>
    <t>Septembrie</t>
  </si>
  <si>
    <t>Octombrie</t>
  </si>
  <si>
    <t>Noiembrie</t>
  </si>
  <si>
    <t>Checo</t>
  </si>
  <si>
    <t>Brezen</t>
  </si>
  <si>
    <t>Duben</t>
  </si>
  <si>
    <t>Kveten</t>
  </si>
  <si>
    <t>Leden</t>
  </si>
  <si>
    <t>Prosinek</t>
  </si>
  <si>
    <t>Srpen</t>
  </si>
  <si>
    <t>Zárí</t>
  </si>
  <si>
    <t>Únor</t>
  </si>
  <si>
    <t>Cerven</t>
  </si>
  <si>
    <t>Cervenec</t>
  </si>
  <si>
    <t>Ríjen</t>
  </si>
  <si>
    <t>Sijecanj</t>
  </si>
  <si>
    <t>Veljaca</t>
  </si>
  <si>
    <t>Ožujak</t>
  </si>
  <si>
    <t>Travanj</t>
  </si>
  <si>
    <t>Svibanj</t>
  </si>
  <si>
    <t xml:space="preserve">Lipanj </t>
  </si>
  <si>
    <t>Srpanj</t>
  </si>
  <si>
    <t>Kolovoz</t>
  </si>
  <si>
    <t>Studeni</t>
  </si>
  <si>
    <t>Prosinac</t>
  </si>
  <si>
    <t>Mart</t>
  </si>
  <si>
    <t>Serbio</t>
  </si>
  <si>
    <t>Avgust</t>
  </si>
  <si>
    <t>Septembar</t>
  </si>
  <si>
    <t>Oktobar</t>
  </si>
  <si>
    <t>Tagalo</t>
  </si>
  <si>
    <t>Pebrero</t>
  </si>
  <si>
    <t>Marso</t>
  </si>
  <si>
    <t>Hunyo</t>
  </si>
  <si>
    <t>Hulyo</t>
  </si>
  <si>
    <t>Septyembre</t>
  </si>
  <si>
    <t>Oktubre</t>
  </si>
  <si>
    <t>Nobyembre</t>
  </si>
  <si>
    <t>Dicyembre</t>
  </si>
  <si>
    <t>Românã</t>
  </si>
  <si>
    <t>Duminicã</t>
  </si>
  <si>
    <t>Luni</t>
  </si>
  <si>
    <t>Marti</t>
  </si>
  <si>
    <t>Miercuri</t>
  </si>
  <si>
    <t>Joi</t>
  </si>
  <si>
    <t>Vineri</t>
  </si>
  <si>
    <t>Sâmbãtã</t>
  </si>
  <si>
    <t>Linggo</t>
  </si>
  <si>
    <t>Miyerkoles</t>
  </si>
  <si>
    <t>Huwebes</t>
  </si>
  <si>
    <t>Biyernes</t>
  </si>
  <si>
    <t>Sabado</t>
  </si>
  <si>
    <t>Suomi</t>
  </si>
  <si>
    <t>Cestina</t>
  </si>
  <si>
    <t>Nedele</t>
  </si>
  <si>
    <t>Pondeli</t>
  </si>
  <si>
    <t>Útery</t>
  </si>
  <si>
    <t>Streda</t>
  </si>
  <si>
    <t>Ctvrtek</t>
  </si>
  <si>
    <t>Pátek</t>
  </si>
  <si>
    <t>Magyar</t>
  </si>
  <si>
    <t>Kedd</t>
  </si>
  <si>
    <t>Szerda</t>
  </si>
  <si>
    <t>Csütörtök</t>
  </si>
  <si>
    <t>Péntek</t>
  </si>
  <si>
    <t>Szmobat</t>
  </si>
  <si>
    <t>Srpski</t>
  </si>
  <si>
    <t>Nedelja</t>
  </si>
  <si>
    <t>Ponedeljak</t>
  </si>
  <si>
    <t>Sreda</t>
  </si>
  <si>
    <t>Idish</t>
  </si>
  <si>
    <t>Yiddish</t>
  </si>
  <si>
    <t>Zuntik</t>
  </si>
  <si>
    <t>Montik</t>
  </si>
  <si>
    <t>Dinstik</t>
  </si>
  <si>
    <t>Mitvokh</t>
  </si>
  <si>
    <t>Donershtik</t>
  </si>
  <si>
    <t>Fraytik</t>
  </si>
  <si>
    <t>Yanuar</t>
  </si>
  <si>
    <t>Yuni</t>
  </si>
  <si>
    <t>Yuli</t>
  </si>
  <si>
    <t>Oygust</t>
  </si>
  <si>
    <t>Detsember</t>
  </si>
  <si>
    <t>Shabes</t>
  </si>
  <si>
    <t>Húngaro</t>
  </si>
  <si>
    <t>Eusakara</t>
  </si>
  <si>
    <t>Astelehen</t>
  </si>
  <si>
    <t>Astearte</t>
  </si>
  <si>
    <t>Asteazken</t>
  </si>
  <si>
    <t>Ostegun</t>
  </si>
  <si>
    <t>Ostiral</t>
  </si>
  <si>
    <t>Larunbat</t>
  </si>
  <si>
    <t>Igande</t>
  </si>
  <si>
    <t>Euscaro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</si>
  <si>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</si>
  <si>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</si>
  <si>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</si>
  <si>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</si>
  <si>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</si>
  <si>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</si>
  <si>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</si>
  <si>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</si>
  <si>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</si>
  <si>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</si>
  <si>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</si>
  <si>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</si>
  <si>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Guaraní</t>
  </si>
  <si>
    <t>Arakôi</t>
  </si>
  <si>
    <t>Araapy</t>
  </si>
  <si>
    <t>Arateî</t>
  </si>
  <si>
    <t>Ararundy</t>
  </si>
  <si>
    <t>Arapo</t>
  </si>
  <si>
    <t>Arapoteî</t>
  </si>
  <si>
    <t>Arapokôi</t>
  </si>
  <si>
    <t>Jasyteî</t>
  </si>
  <si>
    <t>Turco</t>
  </si>
  <si>
    <t>Pazar</t>
  </si>
  <si>
    <t>Pazartesi</t>
  </si>
  <si>
    <t>Salý</t>
  </si>
  <si>
    <t>ÇarÞamba</t>
  </si>
  <si>
    <t>PerÞembe</t>
  </si>
  <si>
    <t>Cuma</t>
  </si>
  <si>
    <t>Cumartesi</t>
  </si>
  <si>
    <t>Ocak</t>
  </si>
  <si>
    <t>þubat</t>
  </si>
  <si>
    <t>Nisan</t>
  </si>
  <si>
    <t>Mayýs</t>
  </si>
  <si>
    <t>Haziran</t>
  </si>
  <si>
    <t>Agustos</t>
  </si>
  <si>
    <t>Ekim</t>
  </si>
  <si>
    <t>Kasým</t>
  </si>
  <si>
    <t>Aralýk</t>
  </si>
  <si>
    <t>Temmuz</t>
  </si>
  <si>
    <t>Eylül</t>
  </si>
  <si>
    <t>Türkçe</t>
  </si>
  <si>
    <t>Norsk</t>
  </si>
  <si>
    <t>Desember</t>
  </si>
  <si>
    <t>Noruego</t>
  </si>
  <si>
    <t>Jasypakôi</t>
  </si>
  <si>
    <t>Jasypateî</t>
  </si>
  <si>
    <t>Jasypa</t>
  </si>
  <si>
    <t>Jasyporundy</t>
  </si>
  <si>
    <t>Jasypoapy</t>
  </si>
  <si>
    <t>Jasypokôi</t>
  </si>
  <si>
    <t>Jasypoteî</t>
  </si>
  <si>
    <t>Jasypo</t>
  </si>
  <si>
    <t>Jasyrundy</t>
  </si>
  <si>
    <t>Jasyapy</t>
  </si>
  <si>
    <t>Jasykôi</t>
  </si>
  <si>
    <t>Ava ñe'ê</t>
  </si>
  <si>
    <t>Pascua</t>
  </si>
  <si>
    <t>Ostern</t>
  </si>
  <si>
    <t>Easter</t>
  </si>
  <si>
    <t>Pasen</t>
  </si>
  <si>
    <t>Pasqua</t>
  </si>
  <si>
    <t>Pâques</t>
  </si>
  <si>
    <t>Päsk</t>
  </si>
  <si>
    <t>Páscoa</t>
  </si>
  <si>
    <t>Páske</t>
  </si>
  <si>
    <t>Pascha</t>
  </si>
  <si>
    <t>Vazam</t>
  </si>
  <si>
    <t>Pääsiäinan</t>
  </si>
  <si>
    <t>Pasko</t>
  </si>
  <si>
    <t>Paskalya</t>
  </si>
  <si>
    <t>Paste</t>
  </si>
  <si>
    <t>Östlig</t>
  </si>
  <si>
    <t>Velikonoce</t>
  </si>
  <si>
    <t>Húsvét</t>
  </si>
  <si>
    <t>Uskrs</t>
  </si>
  <si>
    <t>.</t>
  </si>
  <si>
    <t xml:space="preserve"> de</t>
  </si>
  <si>
    <t>Pazko</t>
  </si>
  <si>
    <t>Català</t>
  </si>
  <si>
    <t>Catalán</t>
  </si>
  <si>
    <t>Diumenge</t>
  </si>
  <si>
    <t>Dilluns</t>
  </si>
  <si>
    <t>Dimarts</t>
  </si>
  <si>
    <t>Dimecres</t>
  </si>
  <si>
    <t>Dijous</t>
  </si>
  <si>
    <t>Divendres</t>
  </si>
  <si>
    <t>Dissabte</t>
  </si>
  <si>
    <t>Agost</t>
  </si>
  <si>
    <t>Desembre</t>
  </si>
  <si>
    <t>Febrer</t>
  </si>
  <si>
    <t>Gener</t>
  </si>
  <si>
    <t>Juliol</t>
  </si>
  <si>
    <t>Juny</t>
  </si>
  <si>
    <t>Març</t>
  </si>
  <si>
    <t>Maig</t>
  </si>
  <si>
    <t>Setembre</t>
  </si>
  <si>
    <t>Domhnach</t>
  </si>
  <si>
    <t>Irlandés</t>
  </si>
  <si>
    <t>Gaeilge</t>
  </si>
  <si>
    <t>Déardaoin</t>
  </si>
  <si>
    <t>Aoine</t>
  </si>
  <si>
    <t>Satharn</t>
  </si>
  <si>
    <t>Eanáir</t>
  </si>
  <si>
    <t>Feabhra</t>
  </si>
  <si>
    <t>Márta</t>
  </si>
  <si>
    <t>Aibreán</t>
  </si>
  <si>
    <t>Bealtaine</t>
  </si>
  <si>
    <t>Meitheamh</t>
  </si>
  <si>
    <t>Iúil</t>
  </si>
  <si>
    <t>Lúnasa</t>
  </si>
  <si>
    <t>Meán Fómhair</t>
  </si>
  <si>
    <t>Deireadh Fómhair</t>
  </si>
  <si>
    <t>Samhain</t>
  </si>
  <si>
    <t>Nollaig</t>
  </si>
  <si>
    <t>Cáisc</t>
  </si>
  <si>
    <t>Dydd Llun</t>
  </si>
  <si>
    <t>Dydd Mawrth</t>
  </si>
  <si>
    <t>Dydd Mercher</t>
  </si>
  <si>
    <t>Posturas</t>
  </si>
  <si>
    <t>anuales</t>
  </si>
  <si>
    <t>Chingolo</t>
  </si>
  <si>
    <t>Hurón</t>
  </si>
  <si>
    <r>
      <rPr>
        <b/>
        <sz val="10"/>
        <rFont val="Arial"/>
        <family val="2"/>
      </rPr>
      <t>Siembra a emergencia</t>
    </r>
    <r>
      <rPr>
        <sz val="10"/>
        <rFont val="Arial"/>
        <family val="2"/>
      </rPr>
      <t>: tiempo transcurrido desde la germinación hasta la aparición de la plantita sobre el suelo.</t>
    </r>
  </si>
  <si>
    <t>Declarada plaga. Sin.: cata, catita</t>
  </si>
  <si>
    <t>Zonotrichia capensis</t>
  </si>
  <si>
    <t>Dydd Iau</t>
  </si>
  <si>
    <t>Dydd Gwener</t>
  </si>
  <si>
    <t>Dydd Sadwrn</t>
  </si>
  <si>
    <t>Galés</t>
  </si>
  <si>
    <t>Ionawr</t>
  </si>
  <si>
    <t>Luan</t>
  </si>
  <si>
    <t>Máirt</t>
  </si>
  <si>
    <t>Céadaoin</t>
  </si>
  <si>
    <t>Islandés</t>
  </si>
  <si>
    <t>Mánudagur</t>
  </si>
  <si>
    <t>Sunnudagur</t>
  </si>
  <si>
    <t>Föstudagur</t>
  </si>
  <si>
    <t>Laugardagur</t>
  </si>
  <si>
    <t>Fimmtudagur</t>
  </si>
  <si>
    <t>Islenska</t>
  </si>
  <si>
    <t>Chwefror</t>
  </si>
  <si>
    <t>Ebrill</t>
  </si>
  <si>
    <t>Mehefin</t>
  </si>
  <si>
    <t>Gorffennaf</t>
  </si>
  <si>
    <t>Awst</t>
  </si>
  <si>
    <t>Medi</t>
  </si>
  <si>
    <t>Hydref</t>
  </si>
  <si>
    <t>Tachwedd</t>
  </si>
  <si>
    <t>Rhagfyr</t>
  </si>
  <si>
    <t>Pasq</t>
  </si>
  <si>
    <t>Mawrth</t>
  </si>
  <si>
    <t>Cymraeg</t>
  </si>
  <si>
    <t>Dydd Sul</t>
  </si>
  <si>
    <t>Janúar</t>
  </si>
  <si>
    <t>Febrúar</t>
  </si>
  <si>
    <t>Apríl</t>
  </si>
  <si>
    <t>Maí</t>
  </si>
  <si>
    <t>Júní</t>
  </si>
  <si>
    <t>Júlí</t>
  </si>
  <si>
    <t>Nóvember</t>
  </si>
  <si>
    <t>Páskar</t>
  </si>
  <si>
    <t>Miðvikudagur</t>
  </si>
  <si>
    <t>þriðjudagur</t>
  </si>
  <si>
    <t>Ágúst</t>
  </si>
  <si>
    <t>Ona</t>
  </si>
  <si>
    <t>Mapuche</t>
  </si>
  <si>
    <t>Quechua</t>
  </si>
  <si>
    <t>Jork</t>
  </si>
  <si>
    <t>Ow-naik, On-on</t>
  </si>
  <si>
    <t>Ayuken</t>
  </si>
  <si>
    <t>Ayupken</t>
  </si>
  <si>
    <t>Krencheyaik</t>
  </si>
  <si>
    <t>Joshinkn</t>
  </si>
  <si>
    <t>Joshchek</t>
  </si>
  <si>
    <t>Holpen 1</t>
  </si>
  <si>
    <t>Holpen 2</t>
  </si>
  <si>
    <t>Holpen 3</t>
  </si>
  <si>
    <t>Youchousk 1</t>
  </si>
  <si>
    <t>Youchousk 2</t>
  </si>
  <si>
    <t>Youchousk 3</t>
  </si>
  <si>
    <t>Helask'n 1</t>
  </si>
  <si>
    <t>Helask'n 2</t>
  </si>
  <si>
    <t>Helask'n 3</t>
  </si>
  <si>
    <t>Tagalo: idioma hablado en parte de las Filipinas.</t>
  </si>
  <si>
    <t>Euscaro: idioma hablado en el país vasco.</t>
  </si>
  <si>
    <t>Selk'nam</t>
  </si>
  <si>
    <t>Killachaw</t>
  </si>
  <si>
    <t>Intichaw</t>
  </si>
  <si>
    <t>Atichaw</t>
  </si>
  <si>
    <t>Quyllurchaw</t>
  </si>
  <si>
    <t>Illapachaw</t>
  </si>
  <si>
    <t>Chascachaw</t>
  </si>
  <si>
    <t>Kuychichaw</t>
  </si>
  <si>
    <t>Qichwa</t>
  </si>
  <si>
    <t>Kamay killa</t>
  </si>
  <si>
    <t>Puquy</t>
  </si>
  <si>
    <t>Pawqarwara</t>
  </si>
  <si>
    <t>Ayriwa</t>
  </si>
  <si>
    <t>Aimurai</t>
  </si>
  <si>
    <t>Kuski</t>
  </si>
  <si>
    <t>Hawkaykuski</t>
  </si>
  <si>
    <t>Situwa</t>
  </si>
  <si>
    <t>Chawawarki</t>
  </si>
  <si>
    <t>Kantaraikis</t>
  </si>
  <si>
    <t>Ayamarca</t>
  </si>
  <si>
    <t>Hatun raymi</t>
  </si>
  <si>
    <t>Indonesio</t>
  </si>
  <si>
    <t>Selasa</t>
  </si>
  <si>
    <t>Kamis</t>
  </si>
  <si>
    <t>Sabtu</t>
  </si>
  <si>
    <t>Maret</t>
  </si>
  <si>
    <t>Agustus</t>
  </si>
  <si>
    <t>Paskah</t>
  </si>
  <si>
    <t>Tagalog/Filipino</t>
  </si>
  <si>
    <t>Bahasa Indonesia</t>
  </si>
  <si>
    <t>Minggu</t>
  </si>
  <si>
    <t>Senin</t>
  </si>
  <si>
    <t>Rabu</t>
  </si>
  <si>
    <t>Jum'at</t>
  </si>
  <si>
    <t>Mapudungun</t>
  </si>
  <si>
    <t>Lietuviu kalba</t>
  </si>
  <si>
    <t>Lituano</t>
  </si>
  <si>
    <t>Latviesu valoda</t>
  </si>
  <si>
    <t>Letón</t>
  </si>
  <si>
    <t>Svetdiena</t>
  </si>
  <si>
    <t>Pirmdiena</t>
  </si>
  <si>
    <t>Otrdiena</t>
  </si>
  <si>
    <t>Tresdiena</t>
  </si>
  <si>
    <t>Ceturdtdiena</t>
  </si>
  <si>
    <t>Piektdiena</t>
  </si>
  <si>
    <t>Sestdiena</t>
  </si>
  <si>
    <t>Lieldienas</t>
  </si>
  <si>
    <t>Janvaris</t>
  </si>
  <si>
    <t>Februaris</t>
  </si>
  <si>
    <t>Maijs</t>
  </si>
  <si>
    <t>Junijs</t>
  </si>
  <si>
    <t>Julijs</t>
  </si>
  <si>
    <t>Augusts</t>
  </si>
  <si>
    <t>Septembris</t>
  </si>
  <si>
    <t>Oktobris</t>
  </si>
  <si>
    <t>Novembris</t>
  </si>
  <si>
    <t>Decembris</t>
  </si>
  <si>
    <t>Latvian</t>
  </si>
  <si>
    <t>Lithuanian</t>
  </si>
  <si>
    <t>Sekmadienis</t>
  </si>
  <si>
    <t>Pirmadienis</t>
  </si>
  <si>
    <t>Antredienis</t>
  </si>
  <si>
    <t>Treciadienis</t>
  </si>
  <si>
    <t>Ketvirtadienis</t>
  </si>
  <si>
    <t>Penktadienis</t>
  </si>
  <si>
    <t>Sestadienis</t>
  </si>
  <si>
    <t>Afrikaans</t>
  </si>
  <si>
    <t>Sondag</t>
  </si>
  <si>
    <t>Vrydag</t>
  </si>
  <si>
    <t>Saterdag</t>
  </si>
  <si>
    <t>Croatian</t>
  </si>
  <si>
    <t>Czech</t>
  </si>
  <si>
    <t>Danish</t>
  </si>
  <si>
    <t>Dutch</t>
  </si>
  <si>
    <t>Estonian</t>
  </si>
  <si>
    <t>Eesti</t>
  </si>
  <si>
    <t>Estonio</t>
  </si>
  <si>
    <t>Pühapäev</t>
  </si>
  <si>
    <t>Esmaspäev</t>
  </si>
  <si>
    <t>Teisipäev</t>
  </si>
  <si>
    <t>Kolmapäev</t>
  </si>
  <si>
    <t>Neljapäev</t>
  </si>
  <si>
    <t>Reede</t>
  </si>
  <si>
    <t>Laupäev</t>
  </si>
  <si>
    <t>Finnish</t>
  </si>
  <si>
    <t>French</t>
  </si>
  <si>
    <t>German</t>
  </si>
  <si>
    <t>Spanish</t>
  </si>
  <si>
    <t>Hungarian</t>
  </si>
  <si>
    <t>Icelandic</t>
  </si>
  <si>
    <t>Indonesian</t>
  </si>
  <si>
    <t>Irish</t>
  </si>
  <si>
    <t>Italian</t>
  </si>
  <si>
    <t>Latin</t>
  </si>
  <si>
    <t>Norwegian</t>
  </si>
  <si>
    <t>Polish</t>
  </si>
  <si>
    <t>Portuguese</t>
  </si>
  <si>
    <t>Romanian</t>
  </si>
  <si>
    <t>Serbian</t>
  </si>
  <si>
    <t>Swedish</t>
  </si>
  <si>
    <t>Tagalog</t>
  </si>
  <si>
    <t>Turkish</t>
  </si>
  <si>
    <t>Januarie</t>
  </si>
  <si>
    <t>Paasfees</t>
  </si>
  <si>
    <t>Jaanuar</t>
  </si>
  <si>
    <t>Veebruar</t>
  </si>
  <si>
    <t>Märts</t>
  </si>
  <si>
    <t>Aprill</t>
  </si>
  <si>
    <t>Juuni</t>
  </si>
  <si>
    <t>Juuli</t>
  </si>
  <si>
    <t>Oktoober</t>
  </si>
  <si>
    <t>Lihavõotted</t>
  </si>
  <si>
    <t>Sausis</t>
  </si>
  <si>
    <t>Vasaris</t>
  </si>
  <si>
    <t>Kovas</t>
  </si>
  <si>
    <t>Balandis</t>
  </si>
  <si>
    <t>Geguzë</t>
  </si>
  <si>
    <t>Birzelis</t>
  </si>
  <si>
    <t>Liepa</t>
  </si>
  <si>
    <t>Rugpjutis</t>
  </si>
  <si>
    <t>Rugse'jis</t>
  </si>
  <si>
    <t>Spalis</t>
  </si>
  <si>
    <t>Sorgo Graníf. ciclo corto</t>
  </si>
  <si>
    <t>Sorgo Graníf. ciclo largo</t>
  </si>
  <si>
    <t>Edad de la luna (días; nueva = 0):</t>
  </si>
  <si>
    <t>Restantes especies</t>
  </si>
  <si>
    <r>
      <rPr>
        <b/>
        <sz val="10"/>
        <rFont val="Arial"/>
        <family val="2"/>
      </rPr>
      <t>Floración</t>
    </r>
    <r>
      <rPr>
        <sz val="10"/>
        <rFont val="Arial"/>
        <family val="2"/>
      </rPr>
      <t>: se refiere a comienzo de la floración (en trigo a espigazón; en soja a estadio R1).</t>
    </r>
  </si>
  <si>
    <r>
      <rPr>
        <b/>
        <sz val="10"/>
        <rFont val="Arial"/>
        <family val="2"/>
      </rPr>
      <t>Madurez</t>
    </r>
    <r>
      <rPr>
        <sz val="10"/>
        <rFont val="Arial"/>
        <family val="2"/>
      </rPr>
      <t>: se refiere a madurez fisiológica, no al momento de cosecha (en soja estadio R8).</t>
    </r>
  </si>
  <si>
    <t>Lino textil</t>
  </si>
  <si>
    <t>Lino oleaginoso</t>
  </si>
  <si>
    <t>Lapkritis</t>
  </si>
  <si>
    <t>Gruodis</t>
  </si>
  <si>
    <t>Welsh</t>
  </si>
  <si>
    <t>Los onas no tenían nombres para los meses sino sólo para las estaciones, razón por la cual se asignó para cada mes un número a la estación.</t>
  </si>
  <si>
    <t>Farsi</t>
  </si>
  <si>
    <t>Yekshabbeh</t>
  </si>
  <si>
    <t>Doshanbeh</t>
  </si>
  <si>
    <t>Seshanbeh</t>
  </si>
  <si>
    <t>Panjshanbeh</t>
  </si>
  <si>
    <t>Jomeh</t>
  </si>
  <si>
    <t>Shanbeh</t>
  </si>
  <si>
    <t>Farzi</t>
  </si>
  <si>
    <t>Farsi (Persa)</t>
  </si>
  <si>
    <t>Janvieh</t>
  </si>
  <si>
    <t>Febrieh</t>
  </si>
  <si>
    <t>Mey</t>
  </si>
  <si>
    <t>Juan</t>
  </si>
  <si>
    <t>Julay</t>
  </si>
  <si>
    <t>Septamr</t>
  </si>
  <si>
    <t>Octobr</t>
  </si>
  <si>
    <t>Novamr</t>
  </si>
  <si>
    <t>Desamr</t>
  </si>
  <si>
    <t>Charshanbeh</t>
  </si>
  <si>
    <t>Estos nombres en farsi son una transcripción fonética al inglés.</t>
  </si>
  <si>
    <t>Fecha inicial</t>
  </si>
  <si>
    <t>Fecha final</t>
  </si>
  <si>
    <t>Miérc. de Ceniza:</t>
  </si>
  <si>
    <t>Ascensión:</t>
  </si>
  <si>
    <t>Pentecostés:</t>
  </si>
  <si>
    <t>Corpus Christi:</t>
  </si>
  <si>
    <t>Circuncisión:</t>
  </si>
  <si>
    <t>S. José:</t>
  </si>
  <si>
    <t>Epifanía:</t>
  </si>
  <si>
    <t>Asunción:</t>
  </si>
  <si>
    <t>S. Pedro y S. Pablo:</t>
  </si>
  <si>
    <t>Todos los Santos:</t>
  </si>
  <si>
    <t>Día de los Difuntos:</t>
  </si>
  <si>
    <t>Navidad:</t>
  </si>
  <si>
    <t>Sta. Rosa de Lima:</t>
  </si>
  <si>
    <t>El factor F comienza el día 1 de enero del año 0 y continúa correlativamente a lo largo de loa años.</t>
  </si>
  <si>
    <t>El factor F tiene un error de dos días al pasar del calendario juliano al gregoriano. El 4/10/1582</t>
  </si>
  <si>
    <t>tiene un F = 578102 (calculado con las fórmulas del calendario juliano) y el 15/10/1582 (o sea el día</t>
  </si>
  <si>
    <t>siguiente en el calendario gregoriano) un F = 578101. De modo que en el cálculo de la cantidad de</t>
  </si>
  <si>
    <t>días al pasar de un calendario al otro hay que sumar dos días.</t>
  </si>
  <si>
    <t>juliano</t>
  </si>
  <si>
    <t>gregoriano</t>
  </si>
  <si>
    <r>
      <t xml:space="preserve">15 según el mes, </t>
    </r>
    <r>
      <rPr>
        <b/>
        <i/>
        <sz val="10"/>
        <color indexed="12"/>
        <rFont val="Arial"/>
        <family val="2"/>
      </rPr>
      <t>idus</t>
    </r>
    <r>
      <rPr>
        <sz val="10"/>
        <rFont val="Arial"/>
        <family val="0"/>
      </rPr>
      <t>. Los restantes días se contaban hacia atrás de los anteriores (ej.: el 3 de diciembre era el segundo antes</t>
    </r>
  </si>
  <si>
    <t>Festividades de santos</t>
  </si>
  <si>
    <t/>
  </si>
  <si>
    <t>Enero 1582</t>
  </si>
  <si>
    <t>Julio 1582</t>
  </si>
  <si>
    <t>Febrero 1582</t>
  </si>
  <si>
    <t>Agosto 1582</t>
  </si>
  <si>
    <t>Marzo 1582</t>
  </si>
  <si>
    <t>Septiembre 1582</t>
  </si>
  <si>
    <t>Abril 1582</t>
  </si>
  <si>
    <t>Octubre 1582</t>
  </si>
  <si>
    <t>Mayo 1582</t>
  </si>
  <si>
    <t>Noviembre 1582</t>
  </si>
  <si>
    <t>Junio 1582</t>
  </si>
  <si>
    <t>Diciembre 1582</t>
  </si>
  <si>
    <t>El calendario gregoriano comienza el 15/4 cuando el papa Gregorio XIII corrigió el calendario juliano decidiendo pasar del jueves 4/10</t>
  </si>
  <si>
    <t>Circuncisión</t>
  </si>
  <si>
    <t>Navidad</t>
  </si>
  <si>
    <t>N. S. del Rosario</t>
  </si>
  <si>
    <t>Inmaculada Concepción</t>
  </si>
  <si>
    <t>Tormenta de Santa Rosa</t>
  </si>
  <si>
    <t>Veranito de San Juan</t>
  </si>
  <si>
    <t>Maratón de San Silvestre</t>
  </si>
  <si>
    <t>Referencia populares referidas al santoral</t>
  </si>
  <si>
    <t>Catalan</t>
  </si>
  <si>
    <t>Basque</t>
  </si>
  <si>
    <t>Gallego</t>
  </si>
  <si>
    <t>Xaneiro</t>
  </si>
  <si>
    <t>Galego</t>
  </si>
  <si>
    <t>Luns</t>
  </si>
  <si>
    <t>Mércores</t>
  </si>
  <si>
    <t>Xoves</t>
  </si>
  <si>
    <t>Venres</t>
  </si>
  <si>
    <t>Decembro</t>
  </si>
  <si>
    <t>Xuño</t>
  </si>
  <si>
    <t>Xullo</t>
  </si>
  <si>
    <t>Verano: Holpen</t>
  </si>
  <si>
    <t>Otoño: Youchousk</t>
  </si>
  <si>
    <t>Primavera: Helask'n</t>
  </si>
  <si>
    <t>Invierno 1: Krencheyaik (más pronto baja el sol)</t>
  </si>
  <si>
    <t>Invierno 2: Joshinkn (mpo de nieves)</t>
  </si>
  <si>
    <t>Invierno 3: Joshchek (porque cae nieve)</t>
  </si>
  <si>
    <t>Kuriakh</t>
  </si>
  <si>
    <t>Deutera</t>
  </si>
  <si>
    <t>Trith</t>
  </si>
  <si>
    <t>Tetarth</t>
  </si>
  <si>
    <t>Pempth</t>
  </si>
  <si>
    <t>Papaskeuh</t>
  </si>
  <si>
    <t>Sabbato</t>
  </si>
  <si>
    <t>Griego</t>
  </si>
  <si>
    <t>AprilioV</t>
  </si>
  <si>
    <t>IoulioV</t>
  </si>
  <si>
    <t>IounioV</t>
  </si>
  <si>
    <t>SeptembrioV</t>
  </si>
  <si>
    <t>DekembrioV</t>
  </si>
  <si>
    <t>Pasca</t>
  </si>
  <si>
    <t>Griego actual</t>
  </si>
  <si>
    <t>Greek</t>
  </si>
  <si>
    <t>OktvbrioV</t>
  </si>
  <si>
    <t>Ellhnika</t>
  </si>
  <si>
    <t>IanouarioV</t>
  </si>
  <si>
    <t>FebrouarioV</t>
  </si>
  <si>
    <t>MartioV</t>
  </si>
  <si>
    <t>MaioV</t>
  </si>
  <si>
    <t>AugoustoV</t>
  </si>
  <si>
    <t>NoembrioV</t>
  </si>
  <si>
    <t>Inmaculada Concepc.:</t>
  </si>
  <si>
    <t>Sto. Nombre de Jesús</t>
  </si>
  <si>
    <t>Epifanía</t>
  </si>
  <si>
    <t>Cátedra de S. Pedro en Roma</t>
  </si>
  <si>
    <t>Conversión de S. Pablo</t>
  </si>
  <si>
    <t>Fundadores de la Orden de Siervos de María</t>
  </si>
  <si>
    <t>Día de S. Valentín (de los enamorados)</t>
  </si>
  <si>
    <t>Cátedra de S. Pedro en Antioquía</t>
  </si>
  <si>
    <t>San Expedito</t>
  </si>
  <si>
    <t>N.S. de Guadalupe</t>
  </si>
  <si>
    <t>Invención de la Santa Cruz</t>
  </si>
  <si>
    <t>María Mediatriz Universal</t>
  </si>
  <si>
    <t>Preciosísima Sangre de Jesús</t>
  </si>
  <si>
    <t>Visitación de la Virgen</t>
  </si>
  <si>
    <t>N.S. del Carmen</t>
  </si>
  <si>
    <t>Transfiguración del Señor</t>
  </si>
  <si>
    <t>Asunción de María</t>
  </si>
  <si>
    <t>Natividad de María</t>
  </si>
  <si>
    <t>Exaltación de la Santa Cruz</t>
  </si>
  <si>
    <t>N.S. de Luján</t>
  </si>
  <si>
    <t>Todos los Fieles Difuntos</t>
  </si>
  <si>
    <t>Año Nuevo</t>
  </si>
  <si>
    <t>Aparición de S. Miguel Arcángel</t>
  </si>
  <si>
    <t>Anunciación de María</t>
  </si>
  <si>
    <t>Aparición de María en Lourdes</t>
  </si>
  <si>
    <t>Purificación de María</t>
  </si>
  <si>
    <t>Conmemoración de S. Pablo</t>
  </si>
  <si>
    <t>N.S. de Itatí</t>
  </si>
  <si>
    <t>Invención del cuerpo de S. Esteban</t>
  </si>
  <si>
    <t>N.S. de las Nieves</t>
  </si>
  <si>
    <t>Degollamiento de S. Juan Bautista</t>
  </si>
  <si>
    <t>Santo Nombre de María</t>
  </si>
  <si>
    <t>Los Siete Dolores de María</t>
  </si>
  <si>
    <t>Impresión de las Llagas de S. Fco. de Asís</t>
  </si>
  <si>
    <t>N.S. de la Merced</t>
  </si>
  <si>
    <t>Los Santos Angeles Custodios</t>
  </si>
  <si>
    <t>Maternidad de María</t>
  </si>
  <si>
    <t>Todos los Santos</t>
  </si>
  <si>
    <t>Esperanto</t>
  </si>
  <si>
    <t>Dimanco</t>
  </si>
  <si>
    <t>Lundoj</t>
  </si>
  <si>
    <t>Mardoj</t>
  </si>
  <si>
    <t>Merkredoj</t>
  </si>
  <si>
    <t>Jaudo</t>
  </si>
  <si>
    <t>Vendredoj</t>
  </si>
  <si>
    <t>Januaro</t>
  </si>
  <si>
    <t>Februaro</t>
  </si>
  <si>
    <t>Marto</t>
  </si>
  <si>
    <t>Aprilo</t>
  </si>
  <si>
    <t>Majo</t>
  </si>
  <si>
    <t>Augusto</t>
  </si>
  <si>
    <t>Septembro</t>
  </si>
  <si>
    <t>Oktobro</t>
  </si>
  <si>
    <t>Los cuatro Santos Coronados</t>
  </si>
  <si>
    <t>Dedicación de la Archibasílica del Salvador</t>
  </si>
  <si>
    <t>Dedicación de la Basílica de S. Pedro y S. Pablo</t>
  </si>
  <si>
    <t>Manifestación de la Medalla Milagrosa</t>
  </si>
  <si>
    <t>N.S. de Loreto</t>
  </si>
  <si>
    <t>N.S. de la Esperanza</t>
  </si>
  <si>
    <t>Presentación de María en el Templo</t>
  </si>
  <si>
    <t>Jumatatu</t>
  </si>
  <si>
    <t>Jumanne</t>
  </si>
  <si>
    <t>Jumatano</t>
  </si>
  <si>
    <t>Alhamisi</t>
  </si>
  <si>
    <t>Ijumaa</t>
  </si>
  <si>
    <t>Jumapili</t>
  </si>
  <si>
    <t>Swahili</t>
  </si>
  <si>
    <t>Jumamosi</t>
  </si>
  <si>
    <t>Suajili</t>
  </si>
  <si>
    <t>Machi</t>
  </si>
  <si>
    <t>Aprili</t>
  </si>
  <si>
    <t>Julai</t>
  </si>
  <si>
    <t>Agosti</t>
  </si>
  <si>
    <t>Septemba</t>
  </si>
  <si>
    <t>Octoba</t>
  </si>
  <si>
    <t>Novemba</t>
  </si>
  <si>
    <t>Desemba</t>
  </si>
  <si>
    <t>Pasaka</t>
  </si>
  <si>
    <t>Idioma hablado en Tanzania, Kenia y Uganda</t>
  </si>
  <si>
    <t>Mónandæg</t>
  </si>
  <si>
    <t>Old English</t>
  </si>
  <si>
    <t>Tíwesdæg</t>
  </si>
  <si>
    <t>Aprelis</t>
  </si>
  <si>
    <t>Ærra Géola</t>
  </si>
  <si>
    <t>Hlýda</t>
  </si>
  <si>
    <t>Gíuling</t>
  </si>
  <si>
    <t>Englisc</t>
  </si>
  <si>
    <t>þunresdæg</t>
  </si>
  <si>
    <t>Geohhol</t>
  </si>
  <si>
    <t>þrimilce</t>
  </si>
  <si>
    <t>Wódnesdæg</t>
  </si>
  <si>
    <t>Sunnandæg</t>
  </si>
  <si>
    <t>HáligmónaÞ</t>
  </si>
  <si>
    <t>Sæterdæg</t>
  </si>
  <si>
    <t>Éasteredæg</t>
  </si>
  <si>
    <t>LiÞa</t>
  </si>
  <si>
    <t>Fríandæg</t>
  </si>
  <si>
    <t>Rugérn</t>
  </si>
  <si>
    <t>Anglosajón</t>
  </si>
  <si>
    <t>Anglosajón o Inglés antiguo fue hablado en Inglaterra entre los siglos V a XII.</t>
  </si>
  <si>
    <t>Día de los Inocentes</t>
  </si>
  <si>
    <t>Día de los Santos</t>
  </si>
  <si>
    <t>Día de los Difuntos</t>
  </si>
  <si>
    <t>Reyes Magos</t>
  </si>
  <si>
    <t>Nochebuena (Vigilia de Navidad)</t>
  </si>
  <si>
    <t>Septuagésima:</t>
  </si>
  <si>
    <t>Fastensonntag</t>
  </si>
  <si>
    <t>Septuagésime</t>
  </si>
  <si>
    <t>Settuagesima</t>
  </si>
  <si>
    <t>Septuagesima</t>
  </si>
  <si>
    <t>Ash Wednesday</t>
  </si>
  <si>
    <t>Aschermittwoch</t>
  </si>
  <si>
    <t>Mercredi des Cendres</t>
  </si>
  <si>
    <t>Mercoledì delle Ceneri</t>
  </si>
  <si>
    <t>Quarta-feira de cinizas</t>
  </si>
  <si>
    <t>Dies Cinerum</t>
  </si>
  <si>
    <t>Ascension of Jesus</t>
  </si>
  <si>
    <t>Christi Himmelfahrt</t>
  </si>
  <si>
    <t>Ascension</t>
  </si>
  <si>
    <t>Ascensione di Jesù</t>
  </si>
  <si>
    <t>Ascensão de Jesus</t>
  </si>
  <si>
    <t>Ascensionis Domini</t>
  </si>
  <si>
    <t>Pentecost</t>
  </si>
  <si>
    <t>Pfingsten</t>
  </si>
  <si>
    <t>Pentecôte</t>
  </si>
  <si>
    <t>Pentecoste</t>
  </si>
  <si>
    <t>Pentecostes</t>
  </si>
  <si>
    <t>Corpus Christi</t>
  </si>
  <si>
    <t>Fronleichnam</t>
  </si>
  <si>
    <t>Fête-Dieu</t>
  </si>
  <si>
    <t>Corpus Domini</t>
  </si>
  <si>
    <t>Miérc. de Ceniza</t>
  </si>
  <si>
    <t>Ascensión</t>
  </si>
  <si>
    <t>Pentecostés</t>
  </si>
  <si>
    <t>1er.dgo. Adviento</t>
  </si>
  <si>
    <t>S. José</t>
  </si>
  <si>
    <t>S. Pedro y S. Pablo</t>
  </si>
  <si>
    <t>Asunción</t>
  </si>
  <si>
    <t>Sta. Rosa de Lima</t>
  </si>
  <si>
    <t>Allerseelen</t>
  </si>
  <si>
    <t>Allerheiligen</t>
  </si>
  <si>
    <t>Erscheinung des Herrn</t>
  </si>
  <si>
    <t>Epiphany</t>
  </si>
  <si>
    <t>Épiphanie</t>
  </si>
  <si>
    <t>Epifania</t>
  </si>
  <si>
    <t>Epiphaniae Domini</t>
  </si>
  <si>
    <t>Mariä Himmelfahrt</t>
  </si>
  <si>
    <t>Assumption of Mary</t>
  </si>
  <si>
    <t>Assomption de Marie</t>
  </si>
  <si>
    <t>Assunziones di Maria</t>
  </si>
  <si>
    <t>Assunção de Maria</t>
  </si>
  <si>
    <t>Assumptio Beatae Mariae Virginis</t>
  </si>
  <si>
    <t>All Saints</t>
  </si>
  <si>
    <t>Toussaint</t>
  </si>
  <si>
    <t>Ognissanti</t>
  </si>
  <si>
    <t>Todos-os-Santos</t>
  </si>
  <si>
    <t>Omnium Sanctorum</t>
  </si>
  <si>
    <t>All Souls' Day</t>
  </si>
  <si>
    <t>Commémoration des fidèles défunts</t>
  </si>
  <si>
    <t>Commemorazione dei defunti</t>
  </si>
  <si>
    <t>Dia dos Fiéis Defuntos</t>
  </si>
  <si>
    <t>Commemoratio Omnium Fidelium Defunctorum</t>
  </si>
  <si>
    <t>Immaculate Conception</t>
  </si>
  <si>
    <t>Unbefleckte Emphängnis</t>
  </si>
  <si>
    <t>Immaculée Conception</t>
  </si>
  <si>
    <t>Immacolata Concezione</t>
  </si>
  <si>
    <t>Imaculada Conceição</t>
  </si>
  <si>
    <t>Immaculata Conceptio</t>
  </si>
  <si>
    <t>Christmas</t>
  </si>
  <si>
    <t>Weihnachten</t>
  </si>
  <si>
    <t>Noël</t>
  </si>
  <si>
    <t>Natale</t>
  </si>
  <si>
    <t>Natal</t>
  </si>
  <si>
    <t>Christi Natalis</t>
  </si>
  <si>
    <t>Beschneidung des Herrn</t>
  </si>
  <si>
    <t>Circumcisio Domini</t>
  </si>
  <si>
    <t>Circumcision of Christ</t>
  </si>
  <si>
    <t>Circoncisione di Jesù</t>
  </si>
  <si>
    <t>Septuagésima</t>
  </si>
  <si>
    <t>Saint Joseph</t>
  </si>
  <si>
    <t>Josefstag</t>
  </si>
  <si>
    <t>San Giuseppe</t>
  </si>
  <si>
    <t>São José</t>
  </si>
  <si>
    <t>Sanctus Iosephus</t>
  </si>
  <si>
    <t>Feast of Saints Peter and Paul</t>
  </si>
  <si>
    <t>Peter und Paul</t>
  </si>
  <si>
    <t>Rose of Lima</t>
  </si>
  <si>
    <t>Rosa von Lima</t>
  </si>
  <si>
    <t>Rose de Lima</t>
  </si>
  <si>
    <t>Rosa da Lima</t>
  </si>
  <si>
    <t>Rosa Limensis</t>
  </si>
  <si>
    <t>Fechas religiosas móviles</t>
  </si>
  <si>
    <t>Fechas religiosas fijas</t>
  </si>
  <si>
    <t>Domingo de Ramos</t>
  </si>
  <si>
    <t>Palm Sunday</t>
  </si>
  <si>
    <t>Palmsonntag</t>
  </si>
  <si>
    <t>Dimanche des Rameaux</t>
  </si>
  <si>
    <t>Domenica delle Palme</t>
  </si>
  <si>
    <t>Dominica in Palmis de passione Domini</t>
  </si>
  <si>
    <t>Erster Adventssonntag</t>
  </si>
  <si>
    <t>First Advent Sunday</t>
  </si>
  <si>
    <t>Premier dimanche de l'Avent</t>
  </si>
  <si>
    <t>ALMANAQUE ROMANO</t>
  </si>
  <si>
    <t>AÑO:</t>
  </si>
  <si>
    <r>
      <t>A</t>
    </r>
    <r>
      <rPr>
        <b/>
        <sz val="10"/>
        <rFont val="Arial"/>
        <family val="2"/>
      </rPr>
      <t>ÑO:</t>
    </r>
  </si>
  <si>
    <t>ALMANAQUE JULIANO</t>
  </si>
  <si>
    <t>ALMANAQUE AÑO 1582 INCLUYENDO LA REFORMA GREGORIANA (mes de octubre)</t>
  </si>
  <si>
    <t>FECHAS RELIGIOSAS CRISTIANAS</t>
  </si>
  <si>
    <t>Festa de São Pedro e São Paulo</t>
  </si>
  <si>
    <t>Giorno di San Pietro e Paolo</t>
  </si>
  <si>
    <t>Fête de saint-Pierre et saint-Paul</t>
  </si>
  <si>
    <t>Petri et Pauli Apostolorum</t>
  </si>
  <si>
    <t>1er. dgo. Adviento:</t>
  </si>
  <si>
    <t>Día N°</t>
  </si>
  <si>
    <t>Galician</t>
  </si>
  <si>
    <t>Occitano</t>
  </si>
  <si>
    <t>Genièr</t>
  </si>
  <si>
    <t>Febrièr</t>
  </si>
  <si>
    <t>Junh</t>
  </si>
  <si>
    <t>Julhet</t>
  </si>
  <si>
    <t>Octòbre</t>
  </si>
  <si>
    <t>Decembre</t>
  </si>
  <si>
    <t>Deluns</t>
  </si>
  <si>
    <t>Dimars</t>
  </si>
  <si>
    <t>Dimèrcles</t>
  </si>
  <si>
    <t>Dijaus</t>
  </si>
  <si>
    <t>Diuendres</t>
  </si>
  <si>
    <t>Dimenge</t>
  </si>
  <si>
    <t>Occitan</t>
  </si>
  <si>
    <t>Occitan language</t>
  </si>
  <si>
    <t>Pascas</t>
  </si>
  <si>
    <t>El occitano (o lengua de Oc) tiene varios dialectos, entre ellos el provenzal.</t>
  </si>
  <si>
    <t>Prima domenica d'avvento</t>
  </si>
  <si>
    <t>Circuncisão de Jesus</t>
  </si>
  <si>
    <t>Circuncision</t>
  </si>
  <si>
    <t>Viernes Santo</t>
  </si>
  <si>
    <t>Good Friday</t>
  </si>
  <si>
    <t>Karfreitag</t>
  </si>
  <si>
    <t>Vendredi saint</t>
  </si>
  <si>
    <t>Venerdì Santo</t>
  </si>
  <si>
    <t>Sexta-Feira Santa</t>
  </si>
  <si>
    <t>Dies Passionis Domini</t>
  </si>
  <si>
    <t>Domingo de advento</t>
  </si>
  <si>
    <t>Alto alemán antiguo</t>
  </si>
  <si>
    <t>Wintarmanoth</t>
  </si>
  <si>
    <t>Hornung</t>
  </si>
  <si>
    <t>Lentzinmanoth</t>
  </si>
  <si>
    <t>Ostarmanoth</t>
  </si>
  <si>
    <t>Winnemanoth</t>
  </si>
  <si>
    <t>Brachmanoth</t>
  </si>
  <si>
    <t>Hewimanoth</t>
  </si>
  <si>
    <t>Aranmanoth</t>
  </si>
  <si>
    <t>Witumanoth</t>
  </si>
  <si>
    <t>Windumemanoth</t>
  </si>
  <si>
    <t>Herbistmanoth</t>
  </si>
  <si>
    <t>Heilagmanoth</t>
  </si>
  <si>
    <t>Ostarun</t>
  </si>
  <si>
    <t>Ziostag</t>
  </si>
  <si>
    <t>Donarestag</t>
  </si>
  <si>
    <t>Friatag</t>
  </si>
  <si>
    <t>Mittiwehha</t>
  </si>
  <si>
    <t>Fronotag</t>
  </si>
  <si>
    <t>Sambaztag</t>
  </si>
  <si>
    <t>Manitag</t>
  </si>
  <si>
    <t>Diutisce</t>
  </si>
  <si>
    <t>Old High German</t>
  </si>
  <si>
    <t>F final =</t>
  </si>
  <si>
    <t>F inicial =</t>
  </si>
  <si>
    <t>HOY</t>
  </si>
  <si>
    <t>Transición calendario</t>
  </si>
  <si>
    <t>Número de la semana dentro del año:</t>
  </si>
  <si>
    <t>F hoy =</t>
  </si>
  <si>
    <t>Día juliano (JD):</t>
  </si>
  <si>
    <t>Número del día dentro del año:</t>
  </si>
  <si>
    <t>Hoy F =</t>
  </si>
  <si>
    <t>1/1 F =</t>
  </si>
  <si>
    <t>Hoy según el calendario gregoriano:</t>
  </si>
  <si>
    <t>Hoy según el calendario juliano:</t>
  </si>
  <si>
    <t>Días entre fecha inicial y final:</t>
  </si>
  <si>
    <t>Número de oro:</t>
  </si>
  <si>
    <t>Indicción romana:</t>
  </si>
  <si>
    <t>Bisiesto</t>
  </si>
  <si>
    <t>Santoral:</t>
  </si>
  <si>
    <t>S. Aquilino</t>
  </si>
  <si>
    <t>S. Telesforo</t>
  </si>
  <si>
    <t>28/2/1700</t>
  </si>
  <si>
    <t>1/3/1700</t>
  </si>
  <si>
    <t>28/2/1800</t>
  </si>
  <si>
    <t>1/3/1800</t>
  </si>
  <si>
    <t>Conversión de gregoriano a juliano</t>
  </si>
  <si>
    <t>15/10/1582</t>
  </si>
  <si>
    <t>1/03/1900</t>
  </si>
  <si>
    <t>1/03/2100</t>
  </si>
  <si>
    <t>S. Julián</t>
  </si>
  <si>
    <t>S. Luciano</t>
  </si>
  <si>
    <t>S. Vidal y Fortunato</t>
  </si>
  <si>
    <t>S. Guillermo</t>
  </si>
  <si>
    <t>S. Higinio</t>
  </si>
  <si>
    <t>S. Victoriano</t>
  </si>
  <si>
    <t>S. Leoncio</t>
  </si>
  <si>
    <t>S. Hilario</t>
  </si>
  <si>
    <t>S. Pablo Ermitaño</t>
  </si>
  <si>
    <t>S. Marcelo</t>
  </si>
  <si>
    <t>S. Mario</t>
  </si>
  <si>
    <t>S. Fabián y Sebastián</t>
  </si>
  <si>
    <t>S. Vicente y Anastasio</t>
  </si>
  <si>
    <t>S. Timoteo</t>
  </si>
  <si>
    <t>S. Policarpo</t>
  </si>
  <si>
    <t>Alpiste</t>
  </si>
  <si>
    <t>Maní</t>
  </si>
  <si>
    <t>Trigo candeal</t>
  </si>
  <si>
    <t>Días entre dos fechas</t>
  </si>
  <si>
    <t>Cálculo del vencimiento dado la fecha y el plazo</t>
  </si>
  <si>
    <t>Días faltantes hasta una fecha</t>
  </si>
  <si>
    <t>Fecha de nacimiento en mamíferos domésticos y silvestres</t>
  </si>
  <si>
    <t>Desarrollo de los cultivos de cereales y oleaginosas en la región pampeana argentina</t>
  </si>
  <si>
    <t>Tiempo transcurrido desde una fecha dada hasta hoy</t>
  </si>
  <si>
    <t>S. Juan Crisóstomo</t>
  </si>
  <si>
    <t>S. Pedro Nolasco</t>
  </si>
  <si>
    <t>S. Francisco de Sales</t>
  </si>
  <si>
    <t>S. Juan Bosco</t>
  </si>
  <si>
    <t>S. Ignacio</t>
  </si>
  <si>
    <t>S. Blas</t>
  </si>
  <si>
    <t>S. Andrés Corsini</t>
  </si>
  <si>
    <t>S. Tito y Dorotea</t>
  </si>
  <si>
    <t>S. Romualdo</t>
  </si>
  <si>
    <t>S. Juan de Mata</t>
  </si>
  <si>
    <t>S. Gregorio II</t>
  </si>
  <si>
    <t>S. Valentín</t>
  </si>
  <si>
    <t>S. Faustino y Jovita</t>
  </si>
  <si>
    <t>S. Gregorio X</t>
  </si>
  <si>
    <t>S. Julián y Teódulo</t>
  </si>
  <si>
    <t>S. Simeón</t>
  </si>
  <si>
    <t>S. Gabino</t>
  </si>
  <si>
    <t>S. Eleuterio</t>
  </si>
  <si>
    <t>S. Dositeo</t>
  </si>
  <si>
    <t>S. Pedro Damiano</t>
  </si>
  <si>
    <t>S. Félix III</t>
  </si>
  <si>
    <t>S. Gabriel de la Dolorosa</t>
  </si>
  <si>
    <t xml:space="preserve">S. Román </t>
  </si>
  <si>
    <t>S. Macario</t>
  </si>
  <si>
    <t>S. Albino</t>
  </si>
  <si>
    <t>S. Simplícito</t>
  </si>
  <si>
    <t>S. Emetrio y Celedonio</t>
  </si>
  <si>
    <t>S. Casimiro</t>
  </si>
  <si>
    <t>S. Eusebio</t>
  </si>
  <si>
    <t>S. Perpetua y Felicitas</t>
  </si>
  <si>
    <t>S. Tomás de Aquino</t>
  </si>
  <si>
    <t>S. Juan de Dios</t>
  </si>
  <si>
    <t>S. 40 mártires de Sebaste</t>
  </si>
  <si>
    <t>S. Eulogio</t>
  </si>
  <si>
    <t>S. Gregorio I (Magno)</t>
  </si>
  <si>
    <t>S. Lenadro</t>
  </si>
  <si>
    <t>S. Patricio</t>
  </si>
  <si>
    <t>S. Cirilo de Jerusalén</t>
  </si>
  <si>
    <t>S. José Esposo de María</t>
  </si>
  <si>
    <t>S. Niceto</t>
  </si>
  <si>
    <t>S. Benito</t>
  </si>
  <si>
    <t>S. José Oriol</t>
  </si>
  <si>
    <t>S. Gabriel Arcángel</t>
  </si>
  <si>
    <t>S. Braulio</t>
  </si>
  <si>
    <t>S. Juan Damasceno</t>
  </si>
  <si>
    <t>S. Juan de Capistrano</t>
  </si>
  <si>
    <t>S. Eustasio</t>
  </si>
  <si>
    <t>S. Juan Clímaco</t>
  </si>
  <si>
    <t>S. Venancio</t>
  </si>
  <si>
    <t>S. Francisco de Paula</t>
  </si>
  <si>
    <t>S. Benito de Palermo</t>
  </si>
  <si>
    <t>S. Isidoro de Sevilla</t>
  </si>
  <si>
    <t>S. Vicente Ferrer</t>
  </si>
  <si>
    <t>S. Sixto I</t>
  </si>
  <si>
    <t>S. Ciriaco</t>
  </si>
  <si>
    <t>S. Dionisio</t>
  </si>
  <si>
    <t>S. León I</t>
  </si>
  <si>
    <t>S. Julio</t>
  </si>
  <si>
    <t>S. Hermenegildo</t>
  </si>
  <si>
    <t>S. Aniceto</t>
  </si>
  <si>
    <t>S. León IX</t>
  </si>
  <si>
    <t>S. Anselmo</t>
  </si>
  <si>
    <t>S. Sotero y Cayo</t>
  </si>
  <si>
    <t>S. Jorge</t>
  </si>
  <si>
    <t>S. Fidel de Sigmaringa</t>
  </si>
  <si>
    <t>Nueva</t>
  </si>
  <si>
    <t>Cuarto creciente</t>
  </si>
  <si>
    <t>Llena</t>
  </si>
  <si>
    <t>Cuarto menguante</t>
  </si>
  <si>
    <t>Mes sinódico (días):</t>
  </si>
  <si>
    <t>Primer novilunio año 2000 (día):</t>
  </si>
  <si>
    <t>UTC</t>
  </si>
  <si>
    <t>Edad de la luna (ahora):</t>
  </si>
  <si>
    <t>Primer novilunio año 2000 (hora arg.):</t>
  </si>
  <si>
    <t>Edad de la luna</t>
  </si>
  <si>
    <t>Luna:</t>
  </si>
  <si>
    <r>
      <t>Anno mundi</t>
    </r>
    <r>
      <rPr>
        <sz val="10"/>
        <rFont val="Arial"/>
        <family val="2"/>
      </rPr>
      <t xml:space="preserve"> judío</t>
    </r>
  </si>
  <si>
    <r>
      <t>Anno mundi</t>
    </r>
    <r>
      <rPr>
        <sz val="10"/>
        <rFont val="Arial"/>
        <family val="2"/>
      </rPr>
      <t xml:space="preserve"> bizantino (1/9)</t>
    </r>
  </si>
  <si>
    <t>Restar días</t>
  </si>
  <si>
    <t>Estro (días)</t>
  </si>
  <si>
    <t>S. Toribio de Lima</t>
  </si>
  <si>
    <t>S. Pablo de la Cruz</t>
  </si>
  <si>
    <t>S. Pedro de Verona</t>
  </si>
  <si>
    <t>S. Felipe y Santiago (el Menor) Apóstoles</t>
  </si>
  <si>
    <t>S. Atanasio</t>
  </si>
  <si>
    <t>S. Pío V</t>
  </si>
  <si>
    <t>S. Estanislao</t>
  </si>
  <si>
    <t>S. Gregorio Nacianceno</t>
  </si>
  <si>
    <t>S. Antonino</t>
  </si>
  <si>
    <t>S. Mamerto</t>
  </si>
  <si>
    <t>S. Nereo, Aquileo y Pancracio</t>
  </si>
  <si>
    <t>S. Roberto Belarmino</t>
  </si>
  <si>
    <t>S. Bonifacio</t>
  </si>
  <si>
    <t>S. Juan Bautista de la Salle</t>
  </si>
  <si>
    <t>S. Juan Nepomuceno</t>
  </si>
  <si>
    <t>S. Pascual Bailón</t>
  </si>
  <si>
    <t>S. Pedro Celestino</t>
  </si>
  <si>
    <t>S. Secundino</t>
  </si>
  <si>
    <t>S. Desiderio</t>
  </si>
  <si>
    <t>S. Gregorio VII</t>
  </si>
  <si>
    <t>S. Felipe de Neri</t>
  </si>
  <si>
    <t>S. Beda el Venerable</t>
  </si>
  <si>
    <t>S. Agustín de Cantorbery</t>
  </si>
  <si>
    <t>S. Fernando y Juana de Arco</t>
  </si>
  <si>
    <t>S. Segundo</t>
  </si>
  <si>
    <t>S. Pergantino y Laurentino</t>
  </si>
  <si>
    <t>S. Francisco Caracciolo</t>
  </si>
  <si>
    <t>S. Norberto</t>
  </si>
  <si>
    <t>S. Roberto</t>
  </si>
  <si>
    <t>S. Medardo</t>
  </si>
  <si>
    <t>S. Primo y Feliciano</t>
  </si>
  <si>
    <t>S. Bernabé Apóstol</t>
  </si>
  <si>
    <t>S. Juan de Sahagún</t>
  </si>
  <si>
    <t>S. Antonio de Padua</t>
  </si>
  <si>
    <t>S. Basilio</t>
  </si>
  <si>
    <t>S. Víctor</t>
  </si>
  <si>
    <t>S. Juan Francisco de Regis</t>
  </si>
  <si>
    <t>S. Manuel</t>
  </si>
  <si>
    <t>S. Efrén</t>
  </si>
  <si>
    <t>S. Juliana de Falconieri</t>
  </si>
  <si>
    <t>S. Silverio</t>
  </si>
  <si>
    <t>S. Luis Gonzaga</t>
  </si>
  <si>
    <t>S. Paulino</t>
  </si>
  <si>
    <t>S. Félix</t>
  </si>
  <si>
    <t>S. Juan el Bautista</t>
  </si>
  <si>
    <t>S. Guillermo de Vercelli</t>
  </si>
  <si>
    <t>S. Juan y Pablo</t>
  </si>
  <si>
    <t>S. Ladislao</t>
  </si>
  <si>
    <t>S. Ireneo</t>
  </si>
  <si>
    <t>S. Pedro y Pablo Apóstoles</t>
  </si>
  <si>
    <t>S. León II</t>
  </si>
  <si>
    <t>S. Laureano</t>
  </si>
  <si>
    <t>S. Antonio María Zacarías</t>
  </si>
  <si>
    <t>S. Isaías</t>
  </si>
  <si>
    <t>S. Cirilo y Metodio</t>
  </si>
  <si>
    <t>S. Pío I</t>
  </si>
  <si>
    <t>S. Juan Gualberto</t>
  </si>
  <si>
    <t>S. Anacleto</t>
  </si>
  <si>
    <t>S. Buenaventura</t>
  </si>
  <si>
    <t>S. Enrique</t>
  </si>
  <si>
    <t>S. Alejo</t>
  </si>
  <si>
    <t>S. Camilo de Lelis</t>
  </si>
  <si>
    <t>S. Vicente de Paul</t>
  </si>
  <si>
    <t>S. Jerónimo Emiliano</t>
  </si>
  <si>
    <t>S. Práxedes</t>
  </si>
  <si>
    <t>S. Apolinar</t>
  </si>
  <si>
    <t>S. Francisco Solano</t>
  </si>
  <si>
    <t>S. Santiago (el Mayor) Apóstol</t>
  </si>
  <si>
    <t>S. Pantaleón</t>
  </si>
  <si>
    <t>S. Abdón y Senén</t>
  </si>
  <si>
    <t>S. Ignacio de Loyola</t>
  </si>
  <si>
    <t>S. Pedo "ad Víncula"</t>
  </si>
  <si>
    <t>S. Alfonso María de Liguori</t>
  </si>
  <si>
    <t>S. Domingo</t>
  </si>
  <si>
    <t>S. Cayetano</t>
  </si>
  <si>
    <t>S. Juan María Vianney</t>
  </si>
  <si>
    <t>S. Lorenzo</t>
  </si>
  <si>
    <t>S. Tiburcio y Susana</t>
  </si>
  <si>
    <t>S. Juan Berchmans</t>
  </si>
  <si>
    <t>S. Jacinto</t>
  </si>
  <si>
    <t>S. Agapito</t>
  </si>
  <si>
    <t>S. Juan Eudes</t>
  </si>
  <si>
    <t>S. Bernardo</t>
  </si>
  <si>
    <t>S. Felipe Benicio</t>
  </si>
  <si>
    <t>S. Bartolomé Apóstol</t>
  </si>
  <si>
    <t>S. Luis Rey de Francia</t>
  </si>
  <si>
    <t>S. Ceferino</t>
  </si>
  <si>
    <t>S. José de Calasanz</t>
  </si>
  <si>
    <t>S. Agustín</t>
  </si>
  <si>
    <t>S. Ramón Nonato</t>
  </si>
  <si>
    <t>S. Gil</t>
  </si>
  <si>
    <t>S. Esteban</t>
  </si>
  <si>
    <t>S. Lorenzo Justiniano</t>
  </si>
  <si>
    <t>S. Eugenio</t>
  </si>
  <si>
    <t>S. Pedro Claver</t>
  </si>
  <si>
    <t>S. Nicolás de Tolentino</t>
  </si>
  <si>
    <t>S. Proto y Jacinto</t>
  </si>
  <si>
    <t>S. Cornelio y Cipriano</t>
  </si>
  <si>
    <t>S. José de Cupertino</t>
  </si>
  <si>
    <t>S. Jenaro</t>
  </si>
  <si>
    <t>S. Eustaquio</t>
  </si>
  <si>
    <t>S. Tomás de Villanueva</t>
  </si>
  <si>
    <t>S. Cleofás</t>
  </si>
  <si>
    <t>S. Cosme y Damián</t>
  </si>
  <si>
    <t>S. Wenceslao</t>
  </si>
  <si>
    <t>S. Miguel Arcángel</t>
  </si>
  <si>
    <t>S. Jerónimo</t>
  </si>
  <si>
    <t>S. Remigio</t>
  </si>
  <si>
    <t>S. Francisco de Asís</t>
  </si>
  <si>
    <t>S. Plácido</t>
  </si>
  <si>
    <t>S. Bruno</t>
  </si>
  <si>
    <t>Cebada cervecera</t>
  </si>
  <si>
    <t>Centeno (para grano)</t>
  </si>
  <si>
    <t>Mijo</t>
  </si>
  <si>
    <t>Sorgo de escobas</t>
  </si>
  <si>
    <t>Ciclo ---&gt;</t>
  </si>
  <si>
    <t>S. Dionisio Rústico y Eleuterio</t>
  </si>
  <si>
    <t>S. Francisco de Borja</t>
  </si>
  <si>
    <t>S. Eduardo</t>
  </si>
  <si>
    <t>S. Calixto</t>
  </si>
  <si>
    <t>S. Pedro de Alcántara</t>
  </si>
  <si>
    <t>S. Juan de Kenty</t>
  </si>
  <si>
    <t>S. Antonio María Claver</t>
  </si>
  <si>
    <t>S. Rafael Arcángel</t>
  </si>
  <si>
    <t>S. Crisanto y Daría</t>
  </si>
  <si>
    <t>S. Evaristo</t>
  </si>
  <si>
    <t>S. Vicente</t>
  </si>
  <si>
    <t>S. Simón y Judas Apóstoles</t>
  </si>
  <si>
    <t>S. Narciso</t>
  </si>
  <si>
    <t>S. Nemesio</t>
  </si>
  <si>
    <t>S. Carlos Borromeo</t>
  </si>
  <si>
    <t>S. Zacarías e Isabel</t>
  </si>
  <si>
    <t>S. Leonardo</t>
  </si>
  <si>
    <t>S. Florencio</t>
  </si>
  <si>
    <t>S. Andrés Avelino</t>
  </si>
  <si>
    <t>S. Martín de Tours</t>
  </si>
  <si>
    <t>S. Martín I</t>
  </si>
  <si>
    <t>S. Estanislao de Kostka</t>
  </si>
  <si>
    <t>S. Josafat</t>
  </si>
  <si>
    <t>S. Alberto Magno</t>
  </si>
  <si>
    <t>S. Gregorio Taumaturgo</t>
  </si>
  <si>
    <t>S. Ponciano</t>
  </si>
  <si>
    <t>S. Félix de Valois</t>
  </si>
  <si>
    <t>S. Clemente</t>
  </si>
  <si>
    <t>S. Juan de la Cruz</t>
  </si>
  <si>
    <t>S. Silvestre</t>
  </si>
  <si>
    <t>S. Saturnino</t>
  </si>
  <si>
    <t>S. Andrés Apóstol</t>
  </si>
  <si>
    <t>S. Eloy</t>
  </si>
  <si>
    <t>S. Francisco Javier</t>
  </si>
  <si>
    <t>S. Pedro Crisólogo</t>
  </si>
  <si>
    <t>S. Sabas</t>
  </si>
  <si>
    <t>S. Nicolás de Bari</t>
  </si>
  <si>
    <t>S. Ambrosio</t>
  </si>
  <si>
    <t>S. Dámaso</t>
  </si>
  <si>
    <t>S. Nicasio</t>
  </si>
  <si>
    <t>S. Valeriano</t>
  </si>
  <si>
    <t>S. Lázaro</t>
  </si>
  <si>
    <t>S. Eugenio y Macario</t>
  </si>
  <si>
    <t>S. Tomás Apóstol</t>
  </si>
  <si>
    <t>S. Francisca Javier Cabrini</t>
  </si>
  <si>
    <t>S. Gregorio y Luciano</t>
  </si>
  <si>
    <t>S. Esteban Protomártir</t>
  </si>
  <si>
    <t>S. Tomás de Cantorbery</t>
  </si>
  <si>
    <t>S. Sabino</t>
  </si>
  <si>
    <t xml:space="preserve"> Los Santos Inocentes</t>
  </si>
  <si>
    <t>Sta. Lucía</t>
  </si>
  <si>
    <t>Sta. Leocadia</t>
  </si>
  <si>
    <t>Sta. Cecilia</t>
  </si>
  <si>
    <t>Sta. Catalina</t>
  </si>
  <si>
    <t>Sta. Catalina Labouré</t>
  </si>
  <si>
    <t>Sta. Bibiana</t>
  </si>
  <si>
    <t>Sta. Gertrudis</t>
  </si>
  <si>
    <t>Sta. Teresa de Jesús</t>
  </si>
  <si>
    <t>Sta. Eduvigis</t>
  </si>
  <si>
    <t>Sta. Margarita María de Alacoque</t>
  </si>
  <si>
    <t>Sta. María Salomé</t>
  </si>
  <si>
    <t>Sta. Brígida</t>
  </si>
  <si>
    <t>Sta. Teresita del Niño Jesús</t>
  </si>
  <si>
    <t>Sta. Juana Francisca de Chantal</t>
  </si>
  <si>
    <t>Sta. Rosa de Viterbo</t>
  </si>
  <si>
    <t>Sta. Regina</t>
  </si>
  <si>
    <t>Sta. Clara</t>
  </si>
  <si>
    <t>Sta. María Magdalena de Pazzis</t>
  </si>
  <si>
    <t>Sta. Ana Madre de la Virgen</t>
  </si>
  <si>
    <t>Sta. Marta</t>
  </si>
  <si>
    <t>Sta. Felicidad</t>
  </si>
  <si>
    <t>Sta. Isabel Reina de Portugal</t>
  </si>
  <si>
    <t>Sta. María Ana de Jesús</t>
  </si>
  <si>
    <t>Sta. Margarita de Cortona</t>
  </si>
  <si>
    <t>Sta. Catalina de Siena</t>
  </si>
  <si>
    <t>Sta. Mónica</t>
  </si>
  <si>
    <t>Sta. Rita de Casia</t>
  </si>
  <si>
    <t>Sta. María Cleofé</t>
  </si>
  <si>
    <t>Sta. Bernardita Soubirous</t>
  </si>
  <si>
    <t>Sta. Basilisa y Anastasia</t>
  </si>
  <si>
    <t>Sta. Engracia</t>
  </si>
  <si>
    <t>Sta. Inés de Montepulsiano</t>
  </si>
  <si>
    <t>Hoy (día)</t>
  </si>
  <si>
    <t>Hoy (mes)</t>
  </si>
  <si>
    <t>Hoy (año)</t>
  </si>
  <si>
    <t xml:space="preserve">Cálculo número de oro para el año </t>
  </si>
  <si>
    <t xml:space="preserve">Cálculo indicción romana para el año </t>
  </si>
  <si>
    <t xml:space="preserve">Cálculo de F para la fecha (D/M/A) </t>
  </si>
  <si>
    <t xml:space="preserve">F = </t>
  </si>
  <si>
    <t xml:space="preserve">Cálculo del día juliano para la fecha precedente </t>
  </si>
  <si>
    <t xml:space="preserve">JD = </t>
  </si>
  <si>
    <t>Circuncisión de Jesús</t>
  </si>
  <si>
    <t>Vencimiento:</t>
  </si>
  <si>
    <t>Sta. Balbina</t>
  </si>
  <si>
    <t>Sta. Catalina de Génova</t>
  </si>
  <si>
    <t>Sta. Genoveva</t>
  </si>
  <si>
    <t>Sta. Inés</t>
  </si>
  <si>
    <t>Sta. Martina</t>
  </si>
  <si>
    <t>Sta. Águeda</t>
  </si>
  <si>
    <t>Sta. Escolástica</t>
  </si>
  <si>
    <t>Sta. Matilde</t>
  </si>
  <si>
    <t>Sta. Luisa de Marillac</t>
  </si>
  <si>
    <t>Sta. Emerenciana</t>
  </si>
  <si>
    <t>S. Antonio Abad</t>
  </si>
  <si>
    <t>Sta. Apolonia de Alejandría</t>
  </si>
  <si>
    <t>Sombreado de amarillo: no se encuentran en el Misal Romano Tridentino</t>
  </si>
  <si>
    <t>S. Tiburcio, Valeriano y Máximo</t>
  </si>
  <si>
    <t>S. Cleto y Marcelino</t>
  </si>
  <si>
    <t>S. Vital de Milán</t>
  </si>
  <si>
    <t>Otros santos</t>
  </si>
  <si>
    <t>http://en.wikipedia.org/wiki/Tridentine_Calendar</t>
  </si>
  <si>
    <t>S. Gordiano y Epimaco</t>
  </si>
  <si>
    <t>Sta. Prudenciana</t>
  </si>
  <si>
    <t>S. Urbano</t>
  </si>
  <si>
    <t>S. Juan I Papa</t>
  </si>
  <si>
    <t>Sta. Petronila</t>
  </si>
  <si>
    <t>S. Marcelino, Pedro y Erasmo</t>
  </si>
  <si>
    <t>S. Basilides, Cyrino, Nabot y Nazario</t>
  </si>
  <si>
    <t>S. Vito, Modesto y Crescencia</t>
  </si>
  <si>
    <t>S. Marcos y Marceliano</t>
  </si>
  <si>
    <t>S.Gervasio y Protasio</t>
  </si>
  <si>
    <t>S. Siete Hermanos Mártires, Sta. Rufina y Segunda</t>
  </si>
  <si>
    <t>S. Nabor y Félix</t>
  </si>
  <si>
    <t>Sta. Sinforosa y sus Siete Hijos</t>
  </si>
  <si>
    <t>Sta. Margarita de Antioquía</t>
  </si>
  <si>
    <t>S. Nazario, Celso y Víctor</t>
  </si>
  <si>
    <t>S. Donato</t>
  </si>
  <si>
    <t>S. Cayetano, santo de los que buscan trabajo</t>
  </si>
  <si>
    <t>S. Romano</t>
  </si>
  <si>
    <t>S. Hipólito y Casiano</t>
  </si>
  <si>
    <t>S. Félix y Adaucto</t>
  </si>
  <si>
    <t>S. Gorgonio</t>
  </si>
  <si>
    <t>S. Nicomedes</t>
  </si>
  <si>
    <t>S. Mauricio</t>
  </si>
  <si>
    <t>S. Lino y Sta. Tecla</t>
  </si>
  <si>
    <t>S. Cipriano y Sta. Justina</t>
  </si>
  <si>
    <t>S. Marcos de Ostia, Sergio, Baco y Marcelo</t>
  </si>
  <si>
    <t>S. Hilarión y Sta. Úrsula</t>
  </si>
  <si>
    <t>S. Vital y Agricola</t>
  </si>
  <si>
    <t>S. Trifón</t>
  </si>
  <si>
    <t>S. Crisógono</t>
  </si>
  <si>
    <t>S. Pedro de Alejandría</t>
  </si>
  <si>
    <t>Sta. Bárbara</t>
  </si>
  <si>
    <t>S. Melquíades</t>
  </si>
  <si>
    <t>N. S. Auxiliadora</t>
  </si>
  <si>
    <t>Sta. María Madre de Dios (desde 1967)</t>
  </si>
  <si>
    <t>S. Raimundo de Peñafort</t>
  </si>
  <si>
    <t>S. Cirilo de Alejandría</t>
  </si>
  <si>
    <t>Sta. Francisca Romana</t>
  </si>
  <si>
    <t>S. Justino</t>
  </si>
  <si>
    <t>S. Juan "ante portam latinam"</t>
  </si>
  <si>
    <t>S. Joaquín Padre de la Virgen /S. Roque</t>
  </si>
  <si>
    <t>Sta. Victoria</t>
  </si>
  <si>
    <t>S. Matías Apóstol</t>
  </si>
  <si>
    <t>SANTORAL (según el Misal Romano Tridentino)</t>
  </si>
  <si>
    <t>S. Juan Apóstol y Evangelista</t>
  </si>
  <si>
    <t>S. Lucas Apóstol y Evangelista</t>
  </si>
  <si>
    <t>S. Mateo Apóstol y Evangelista</t>
  </si>
  <si>
    <t>S. Marcos Apóstol y Evangelista</t>
  </si>
  <si>
    <t>Fuente del calendario tridentino:</t>
  </si>
  <si>
    <t>S. Félix I Papa</t>
  </si>
  <si>
    <t>S. Alfonso Rodríguez</t>
  </si>
  <si>
    <t>S. Bernardino de Siena</t>
  </si>
  <si>
    <t>Sta. Isabel de Hungría</t>
  </si>
  <si>
    <t>S. Cristóbal</t>
  </si>
  <si>
    <t>a.u.c. =</t>
  </si>
  <si>
    <r>
      <t xml:space="preserve">Abreviaturas: a.C.: antes de Cristo.  d.C.: </t>
    </r>
    <r>
      <rPr>
        <sz val="10"/>
        <rFont val="Arial"/>
        <family val="0"/>
      </rPr>
      <t xml:space="preserve">después de Cristo (d.C.).  a.u.c.: </t>
    </r>
    <r>
      <rPr>
        <i/>
        <sz val="10"/>
        <rFont val="Arial"/>
        <family val="2"/>
      </rPr>
      <t>ab urbe condita</t>
    </r>
    <r>
      <rPr>
        <sz val="10"/>
        <rFont val="Arial"/>
        <family val="0"/>
      </rPr>
      <t>.</t>
    </r>
  </si>
  <si>
    <t>La denominación de los días de la semana dada aquí recién se implantó a partir del año 321 d.C. por decisión del emperador</t>
  </si>
  <si>
    <t>Especie</t>
  </si>
  <si>
    <t>Mujer</t>
  </si>
  <si>
    <t>Homo sapiens</t>
  </si>
  <si>
    <t>Cobaya</t>
  </si>
  <si>
    <t>Cavia porcellus</t>
  </si>
  <si>
    <t>Cuis</t>
  </si>
  <si>
    <t>Microcavia australis</t>
  </si>
  <si>
    <t>Okapis</t>
  </si>
  <si>
    <t>Coneja</t>
  </si>
  <si>
    <t>Perra</t>
  </si>
  <si>
    <t>Leona</t>
  </si>
  <si>
    <t>Cerda</t>
  </si>
  <si>
    <t>Vaca</t>
  </si>
  <si>
    <t>Yegua</t>
  </si>
  <si>
    <t>Rattus rattus</t>
  </si>
  <si>
    <t>Rata negra</t>
  </si>
  <si>
    <t>Mus musculus</t>
  </si>
  <si>
    <t>Gata</t>
  </si>
  <si>
    <t>Felis silvestris catus</t>
  </si>
  <si>
    <t>Nombre científico</t>
  </si>
  <si>
    <t>Búfala de agua</t>
  </si>
  <si>
    <t>Bubalus bubalis</t>
  </si>
  <si>
    <t>Bison bison</t>
  </si>
  <si>
    <t>Cebú</t>
  </si>
  <si>
    <t>Bos primigenius indicus</t>
  </si>
  <si>
    <t>Sin.: Bos taurus indicus</t>
  </si>
  <si>
    <t>Gaur</t>
  </si>
  <si>
    <t>Bos gaurus</t>
  </si>
  <si>
    <t>Laucha</t>
  </si>
  <si>
    <t>Sin.: laucha</t>
  </si>
  <si>
    <t>Sin.: ratona</t>
  </si>
  <si>
    <t>Oveja</t>
  </si>
  <si>
    <t>Ovis orientalis aries</t>
  </si>
  <si>
    <t>Muflón</t>
  </si>
  <si>
    <t>Ovis orientalis musimon</t>
  </si>
  <si>
    <t>Cabra</t>
  </si>
  <si>
    <t>Loba</t>
  </si>
  <si>
    <t>Capra aegagrus hircus</t>
  </si>
  <si>
    <t>(días)</t>
  </si>
  <si>
    <t>Canis lupus</t>
  </si>
  <si>
    <t>Observaciones</t>
  </si>
  <si>
    <t>Trigo ciclo largo II N</t>
  </si>
  <si>
    <t>Trigo ciclo largo IV</t>
  </si>
  <si>
    <t>Trigo ciclo corto IV</t>
  </si>
  <si>
    <t>Trigo ciclo corto II N</t>
  </si>
  <si>
    <t>Maíz</t>
  </si>
  <si>
    <t>Girasol</t>
  </si>
  <si>
    <t>Fecha de siembra:</t>
  </si>
  <si>
    <t>Emergencia:</t>
  </si>
  <si>
    <t>Madurez:</t>
  </si>
  <si>
    <t>Alpaca</t>
  </si>
  <si>
    <t>Vicuña</t>
  </si>
  <si>
    <t>Guanaco</t>
  </si>
  <si>
    <t>Lama glama</t>
  </si>
  <si>
    <t>Camella</t>
  </si>
  <si>
    <t>Lama guanicoe</t>
  </si>
  <si>
    <t>Vicugna pacos</t>
  </si>
  <si>
    <t>Vicugna vicugna</t>
  </si>
  <si>
    <t>Camelus bactrianus</t>
  </si>
  <si>
    <t>Camelus dromedarius</t>
  </si>
  <si>
    <t>Dromedario</t>
  </si>
  <si>
    <t>Puma</t>
  </si>
  <si>
    <t>Puma concolor</t>
  </si>
  <si>
    <t>Jaguar</t>
  </si>
  <si>
    <t>Panthera onca</t>
  </si>
  <si>
    <t>Panthera pardus</t>
  </si>
  <si>
    <t>Leopardo</t>
  </si>
  <si>
    <t>Panthera tigris</t>
  </si>
  <si>
    <t>Sin.: yaguareté</t>
  </si>
  <si>
    <t>Panthera leo</t>
  </si>
  <si>
    <t>Burra</t>
  </si>
  <si>
    <t>Equus africanus asinus</t>
  </si>
  <si>
    <t>Cebra común</t>
  </si>
  <si>
    <t>Equus quagga</t>
  </si>
  <si>
    <t>17-24</t>
  </si>
  <si>
    <t>Zorra</t>
  </si>
  <si>
    <t>Vulpes vulpes</t>
  </si>
  <si>
    <t>Chinchilla lanigera</t>
  </si>
  <si>
    <t>Visón americano</t>
  </si>
  <si>
    <t>Neovison vison</t>
  </si>
  <si>
    <t>Nutria</t>
  </si>
  <si>
    <t>Myocastor coypus</t>
  </si>
  <si>
    <t>Sin.: coipo</t>
  </si>
  <si>
    <t>Liebre</t>
  </si>
  <si>
    <t>Lepus europaeus</t>
  </si>
  <si>
    <t>Sus scrofa domestica</t>
  </si>
  <si>
    <t>Sus scrofa</t>
  </si>
  <si>
    <t>Jabalí</t>
  </si>
  <si>
    <t>Oryctolagus cuniculus</t>
  </si>
  <si>
    <t>Bonobo</t>
  </si>
  <si>
    <t>Pan paniscus</t>
  </si>
  <si>
    <t>Sin.: chimpancé pigmeo o enano</t>
  </si>
  <si>
    <t>Chimpancé</t>
  </si>
  <si>
    <t>Pan troglodytes</t>
  </si>
  <si>
    <t>Gorila</t>
  </si>
  <si>
    <t>Gorilla gorilla</t>
  </si>
  <si>
    <t>Canguro rojo</t>
  </si>
  <si>
    <t>Macropus rufus</t>
  </si>
  <si>
    <t>Canis lupus familiaris</t>
  </si>
  <si>
    <t>Bos primigenius taurus</t>
  </si>
  <si>
    <t>Equus ferus caballus</t>
  </si>
  <si>
    <t>Okapia johnstoni</t>
  </si>
  <si>
    <t>Jirafa</t>
  </si>
  <si>
    <t>Giraffa camelopardalis</t>
  </si>
  <si>
    <t>Eubalaena australis</t>
  </si>
  <si>
    <t>Ballena franca austral</t>
  </si>
  <si>
    <t>Bisonte americano</t>
  </si>
  <si>
    <t>Ratón</t>
  </si>
  <si>
    <t>Elephas maximus</t>
  </si>
  <si>
    <t>Elefanta asiática</t>
  </si>
  <si>
    <t>Ozotoceros bezoarticus</t>
  </si>
  <si>
    <t>Carpincho</t>
  </si>
  <si>
    <t>Ciervo colorado</t>
  </si>
  <si>
    <t>Cervus elaphus</t>
  </si>
  <si>
    <t>Sin.: capibara</t>
  </si>
  <si>
    <t>Hydrochoerus hydrochaeris</t>
  </si>
  <si>
    <t>Incubación por macho</t>
  </si>
  <si>
    <t>Ñandú</t>
  </si>
  <si>
    <t>Rhea amricana</t>
  </si>
  <si>
    <t>Pato doméstico</t>
  </si>
  <si>
    <t>Anas platyrhinchos domesticus</t>
  </si>
  <si>
    <t>Gallina</t>
  </si>
  <si>
    <t>Gallus gallus domesticus</t>
  </si>
  <si>
    <t>Pavo</t>
  </si>
  <si>
    <t>Meleagris gallopavo</t>
  </si>
  <si>
    <t>Tero</t>
  </si>
  <si>
    <t>Vanellus chilensis</t>
  </si>
  <si>
    <t>Chajá</t>
  </si>
  <si>
    <t>Chauna torquata</t>
  </si>
  <si>
    <t>Ganso</t>
  </si>
  <si>
    <t>Anser anser domesticus</t>
  </si>
  <si>
    <t>Codorniz</t>
  </si>
  <si>
    <t>Faisán</t>
  </si>
  <si>
    <t>Hornero</t>
  </si>
  <si>
    <t>Furnarius rufus</t>
  </si>
  <si>
    <t>Coturnix coturnix</t>
  </si>
  <si>
    <t>Phasianus colchicus</t>
  </si>
  <si>
    <t>Lycalopex gymnocercus</t>
  </si>
  <si>
    <t>Sin.: zorro gris de las pampas</t>
  </si>
  <si>
    <t>Zorra de las pampas</t>
  </si>
  <si>
    <t>Venado de las pampas</t>
  </si>
  <si>
    <t>Carancho</t>
  </si>
  <si>
    <t>Chimango</t>
  </si>
  <si>
    <t>Milvago chimango</t>
  </si>
  <si>
    <t>Nidada</t>
  </si>
  <si>
    <t>(huevos)</t>
  </si>
  <si>
    <t>3-4</t>
  </si>
  <si>
    <t>2-4</t>
  </si>
  <si>
    <t>Pirincho</t>
  </si>
  <si>
    <t>5-7</t>
  </si>
  <si>
    <t>Guira guira</t>
  </si>
  <si>
    <t>Benteveo</t>
  </si>
  <si>
    <t>Pitangus sulphuratus</t>
  </si>
  <si>
    <t>Sin.: bichofeo</t>
  </si>
  <si>
    <t>2-5</t>
  </si>
  <si>
    <t>2-7</t>
  </si>
  <si>
    <t>Caracara plancus</t>
  </si>
  <si>
    <t>4-6</t>
  </si>
  <si>
    <t>5-8</t>
  </si>
  <si>
    <t>TIEMPO DE INCUBACION EN AVES DOMESTICAS Y SILVESTRES</t>
  </si>
  <si>
    <t>Gallineta</t>
  </si>
  <si>
    <t>Numida meleagris</t>
  </si>
  <si>
    <t>5-12</t>
  </si>
  <si>
    <t>Sin.: gallina de Guinea</t>
  </si>
  <si>
    <t>6-18</t>
  </si>
  <si>
    <t>Gorrión</t>
  </si>
  <si>
    <t>Passer domesticus</t>
  </si>
  <si>
    <t>4-5</t>
  </si>
  <si>
    <t>Cóndor</t>
  </si>
  <si>
    <t>Vultur gryphus</t>
  </si>
  <si>
    <t>1-2</t>
  </si>
  <si>
    <t>Columba livia</t>
  </si>
  <si>
    <t>TIEMPO DE GESTACION EN MAMIFEROS DOMESTICOS Y SILVESTRES</t>
  </si>
  <si>
    <t>Gestación (días)</t>
  </si>
  <si>
    <t>De</t>
  </si>
  <si>
    <t>A</t>
  </si>
  <si>
    <t>Prom.</t>
  </si>
  <si>
    <t>Incubación (días)</t>
  </si>
  <si>
    <t>Paloma mensajera</t>
  </si>
  <si>
    <t>Pavo real</t>
  </si>
  <si>
    <t>4-8</t>
  </si>
  <si>
    <t>Pavo cristatus</t>
  </si>
  <si>
    <t>Paloma torcaza</t>
  </si>
  <si>
    <t>Zenaida auriculata</t>
  </si>
  <si>
    <t>Cotorra</t>
  </si>
  <si>
    <t>Tijereta</t>
  </si>
  <si>
    <t>Tyrannus savana</t>
  </si>
  <si>
    <t>Pecho colorado</t>
  </si>
  <si>
    <t>3-5</t>
  </si>
  <si>
    <t>Sturnella superciliaris</t>
  </si>
  <si>
    <t>Aptenodytes forsteri</t>
  </si>
  <si>
    <t>Pingüino adelaida</t>
  </si>
  <si>
    <t>Pingüino emperador</t>
  </si>
  <si>
    <t>Pygoscelis adeliae</t>
  </si>
  <si>
    <t>Incubación alternada hembra/macho</t>
  </si>
  <si>
    <t>Pingüino de barbijo</t>
  </si>
  <si>
    <t>Pygoscelis antarcticus</t>
  </si>
  <si>
    <t>Pingüino rey</t>
  </si>
  <si>
    <t>Aptenodytes patagonicus</t>
  </si>
  <si>
    <t>Pingüino papua</t>
  </si>
  <si>
    <t>Pygoscelis papua</t>
  </si>
  <si>
    <t>Elefante marino</t>
  </si>
  <si>
    <t>Mirounga leonina</t>
  </si>
  <si>
    <t>Lobo marino</t>
  </si>
  <si>
    <t>Otaria flavescens</t>
  </si>
  <si>
    <t>Canario</t>
  </si>
  <si>
    <t>Serinus canaria domestica</t>
  </si>
  <si>
    <t>Nothura maculosa</t>
  </si>
  <si>
    <t>Perdiz común</t>
  </si>
  <si>
    <t>Anumbius annumbi</t>
  </si>
  <si>
    <t>Leñatero</t>
  </si>
  <si>
    <t>Zorra gris</t>
  </si>
  <si>
    <t>Lycalopex griseus</t>
  </si>
  <si>
    <t>Cauquén</t>
  </si>
  <si>
    <t>Cholphaga picta</t>
  </si>
  <si>
    <t>Sin.: avutarda magallánica</t>
  </si>
  <si>
    <t>Sin.: chilla</t>
  </si>
  <si>
    <t>7-14</t>
  </si>
  <si>
    <t>Asio flammeus</t>
  </si>
  <si>
    <t>Lechuza campestre</t>
  </si>
  <si>
    <t>Scots</t>
  </si>
  <si>
    <t>Monanday</t>
  </si>
  <si>
    <t>Tysday</t>
  </si>
  <si>
    <t>Wadenday</t>
  </si>
  <si>
    <t>Fuirsday</t>
  </si>
  <si>
    <t>Seturday</t>
  </si>
  <si>
    <t>Escocés</t>
  </si>
  <si>
    <t>Scots, Lallans</t>
  </si>
  <si>
    <t>Mairch</t>
  </si>
  <si>
    <t>Apryle</t>
  </si>
  <si>
    <t>Pace</t>
  </si>
  <si>
    <t>Hartung</t>
  </si>
  <si>
    <t>Lenzing</t>
  </si>
  <si>
    <t>Launing</t>
  </si>
  <si>
    <t>Brachet</t>
  </si>
  <si>
    <t>Ernting</t>
  </si>
  <si>
    <t>Scheiding</t>
  </si>
  <si>
    <t>Gibhard</t>
  </si>
  <si>
    <t>Nebelung</t>
  </si>
  <si>
    <t>Julmond</t>
  </si>
  <si>
    <t>Heuert</t>
  </si>
  <si>
    <t>Maien</t>
  </si>
  <si>
    <t>Interlingua</t>
  </si>
  <si>
    <t>Dominica</t>
  </si>
  <si>
    <t>Mercuridi</t>
  </si>
  <si>
    <t>Jovedi</t>
  </si>
  <si>
    <t>Januario</t>
  </si>
  <si>
    <t>Februario</t>
  </si>
  <si>
    <t>Martio</t>
  </si>
  <si>
    <r>
      <rPr>
        <i/>
        <sz val="10"/>
        <rFont val="Arial"/>
        <family val="2"/>
      </rPr>
      <t>Interlingua es un lingua auxiliar international naturalistic basate super le vocabulos commun al major linguas europee e super un grammatica anglo-romanic simple</t>
    </r>
    <r>
      <rPr>
        <sz val="10"/>
        <rFont val="Arial"/>
        <family val="2"/>
      </rPr>
      <t xml:space="preserve"> (texto en Interlingua).</t>
    </r>
  </si>
  <si>
    <r>
      <t>El altoalemán antiguo (</t>
    </r>
    <r>
      <rPr>
        <i/>
        <sz val="10"/>
        <rFont val="Arial"/>
        <family val="2"/>
      </rPr>
      <t>Althochdeutsch</t>
    </r>
    <r>
      <rPr>
        <sz val="10"/>
        <rFont val="Arial"/>
        <family val="2"/>
      </rPr>
      <t>), hablado durante los siglos VIII a XI, es el antepasado del actual alemán. Los nombres de los meses son los establecidos por Carlomagno.</t>
    </r>
  </si>
  <si>
    <t>CALCULOS</t>
  </si>
  <si>
    <t>Calendario</t>
  </si>
  <si>
    <t>Año</t>
  </si>
  <si>
    <t>Plazo (días)</t>
  </si>
  <si>
    <t>Fecha:</t>
  </si>
  <si>
    <t>desde</t>
  </si>
  <si>
    <t>hasta</t>
  </si>
  <si>
    <t>Nonis</t>
  </si>
  <si>
    <t>a. d. IV Nonas</t>
  </si>
  <si>
    <t>a. d. III Nonas</t>
  </si>
  <si>
    <t>a. d. VI Nonas</t>
  </si>
  <si>
    <t>a. d. V Nonas</t>
  </si>
  <si>
    <t>a. d. VIII Idus</t>
  </si>
  <si>
    <t>a. d. VII Idus</t>
  </si>
  <si>
    <t>a. d. VI Idus</t>
  </si>
  <si>
    <t>a. d. V Idus</t>
  </si>
  <si>
    <t>a. d. IV Idus</t>
  </si>
  <si>
    <t>a. d. III Idus</t>
  </si>
  <si>
    <t>pridie II Nonas</t>
  </si>
  <si>
    <t>pridie Idus</t>
  </si>
  <si>
    <t>enero, agosto</t>
  </si>
  <si>
    <t>diciembre</t>
  </si>
  <si>
    <t>marzo, mayo</t>
  </si>
  <si>
    <t>julio, octubre</t>
  </si>
  <si>
    <t>no bisiesto</t>
  </si>
  <si>
    <t>bisiesto</t>
  </si>
  <si>
    <t>noviembre</t>
  </si>
  <si>
    <t>setiembre</t>
  </si>
  <si>
    <t>febrero año</t>
  </si>
  <si>
    <t>actual</t>
  </si>
  <si>
    <t>Comienzo incubación:</t>
  </si>
  <si>
    <t>Fecha de servicio:</t>
  </si>
  <si>
    <t>Nacimiento</t>
  </si>
  <si>
    <t>Soja Grupo VII</t>
  </si>
  <si>
    <t>Colza</t>
  </si>
  <si>
    <t>Colza cv. invernales</t>
  </si>
  <si>
    <t>Colza cv. primaverales</t>
  </si>
  <si>
    <t>E-Fl.</t>
  </si>
  <si>
    <t>Fl.-M</t>
  </si>
  <si>
    <t>E: Emergencia</t>
  </si>
  <si>
    <t>Fl.: Comienzo floración</t>
  </si>
  <si>
    <t>M: madurez</t>
  </si>
  <si>
    <t>Fuente: Irirarte, Liliana y Zulma López. Red nacional de evaluación de cultivares de colza campaña 2014. Chacra Experimental Integrada Barrow, s.f.</t>
  </si>
  <si>
    <t>Avena (para grano)</t>
  </si>
  <si>
    <t>Arroz ciclo corto</t>
  </si>
  <si>
    <t>Arroz ciclo largo</t>
  </si>
  <si>
    <t>Mes siembra</t>
  </si>
  <si>
    <t>Soja Grupo II</t>
  </si>
  <si>
    <t>Soja Grupo VIII</t>
  </si>
  <si>
    <t>Datos estimados sobre la base de  las redes de ensayos y la información suministrada por los criaderos sobre sus semillas.</t>
  </si>
  <si>
    <t>Faltan</t>
  </si>
  <si>
    <t>días</t>
  </si>
  <si>
    <t>pridie: víspera</t>
  </si>
  <si>
    <t>EQUIVALENCIAS ENTRE LOS DIAS ACTUALES Y LOS DEL CALENDARIO ROMANO</t>
  </si>
  <si>
    <t>HORAS DEL DIA Y DE LA NOCHE</t>
  </si>
  <si>
    <t>hora prima</t>
  </si>
  <si>
    <t>hora secunda</t>
  </si>
  <si>
    <t>hora tertia</t>
  </si>
  <si>
    <t>…</t>
  </si>
  <si>
    <t>hora sexta</t>
  </si>
  <si>
    <t>hora duodecima</t>
  </si>
  <si>
    <t>prima vigilia</t>
  </si>
  <si>
    <t>secunda vigilia</t>
  </si>
  <si>
    <t>tertia vigilia</t>
  </si>
  <si>
    <t>quarta vigilia</t>
  </si>
  <si>
    <t>mediodía</t>
  </si>
  <si>
    <t>a.d. [ante diem]: días antes de</t>
  </si>
  <si>
    <t>a. d. XIX calendas</t>
  </si>
  <si>
    <t>a. d. XVIII calendas</t>
  </si>
  <si>
    <t>a. d. XVI calendas</t>
  </si>
  <si>
    <t>a. d. XVII calendas</t>
  </si>
  <si>
    <t>a. d. XV calendas</t>
  </si>
  <si>
    <t>a. d. XIV calendas</t>
  </si>
  <si>
    <t>a. d. XIII calendas</t>
  </si>
  <si>
    <t>a. d. XII calendas</t>
  </si>
  <si>
    <t>a. d. XI calendas</t>
  </si>
  <si>
    <t>a. d. X calendas</t>
  </si>
  <si>
    <t>a. d. IX calendas</t>
  </si>
  <si>
    <t>a. d. VIII calendas</t>
  </si>
  <si>
    <t>a. d. VII calendas</t>
  </si>
  <si>
    <t>a. d. VI calendas</t>
  </si>
  <si>
    <t>a. d. V calendas</t>
  </si>
  <si>
    <t>a. d. IV calendas</t>
  </si>
  <si>
    <t>a. d. III calendas</t>
  </si>
  <si>
    <t>pridie calendas</t>
  </si>
  <si>
    <r>
      <rPr>
        <i/>
        <sz val="10"/>
        <rFont val="Arial"/>
        <family val="2"/>
      </rPr>
      <t>dies ante calendas martii</t>
    </r>
    <r>
      <rPr>
        <sz val="10"/>
        <rFont val="Arial"/>
        <family val="0"/>
      </rPr>
      <t>, de donde deriva el nombre de bisiesto (</t>
    </r>
    <r>
      <rPr>
        <i/>
        <sz val="10"/>
        <rFont val="Arial"/>
        <family val="2"/>
      </rPr>
      <t>bis sextus</t>
    </r>
    <r>
      <rPr>
        <sz val="10"/>
        <rFont val="Arial"/>
        <family val="0"/>
      </rPr>
      <t>).</t>
    </r>
  </si>
  <si>
    <t>primera parte de la noche</t>
  </si>
  <si>
    <t>horas previas al amanecer</t>
  </si>
  <si>
    <t>después del amanecer</t>
  </si>
  <si>
    <t>antes de la puesta del sol</t>
  </si>
  <si>
    <t>Denominación</t>
  </si>
  <si>
    <t>Momento del día</t>
  </si>
  <si>
    <t>abril, junio</t>
  </si>
  <si>
    <r>
      <t xml:space="preserve">En el calendario romano el día intercalado en los años bisiestos era el 24 de febrero, o sea el </t>
    </r>
    <r>
      <rPr>
        <i/>
        <sz val="10"/>
        <rFont val="Arial"/>
        <family val="2"/>
      </rPr>
      <t>bis sextus</t>
    </r>
  </si>
  <si>
    <t>Los romanos dividían el día en 12 horas, desde el amanecer hasta el anochecer, de modo que su</t>
  </si>
  <si>
    <t>duración variaba con la longitud del día. La noche se dividía en cuatro vigilias.</t>
  </si>
  <si>
    <t>Calendis</t>
  </si>
  <si>
    <t>Dies</t>
  </si>
  <si>
    <t>Solis</t>
  </si>
  <si>
    <t>Lunae</t>
  </si>
  <si>
    <t>Martis</t>
  </si>
  <si>
    <t>Mercurii</t>
  </si>
  <si>
    <t>Jovis</t>
  </si>
  <si>
    <t>Veneris</t>
  </si>
  <si>
    <t>Saturni</t>
  </si>
  <si>
    <t>Myiopsitta monachus</t>
  </si>
  <si>
    <t>Tigresa</t>
  </si>
  <si>
    <t>a.C.</t>
  </si>
  <si>
    <t>Cálculo del año de la era romana para</t>
  </si>
  <si>
    <t>Cálculo del calendario hebreo para</t>
  </si>
  <si>
    <t>Cálculo del calendario musulmán para</t>
  </si>
  <si>
    <t>Cálculo del calendario bizantino para</t>
  </si>
  <si>
    <t>Aries</t>
  </si>
  <si>
    <t>Tauro</t>
  </si>
  <si>
    <t>Cáncer</t>
  </si>
  <si>
    <t>Géminis</t>
  </si>
  <si>
    <t>Leo</t>
  </si>
  <si>
    <t>Virgo</t>
  </si>
  <si>
    <t>Libra</t>
  </si>
  <si>
    <t>Escorpio</t>
  </si>
  <si>
    <t>Sagitario</t>
  </si>
  <si>
    <t>Capricornio</t>
  </si>
  <si>
    <t>Acuario</t>
  </si>
  <si>
    <t>Piscis</t>
  </si>
  <si>
    <t>Zodíaco</t>
  </si>
  <si>
    <t>Anno domine (en números romanos):</t>
  </si>
  <si>
    <r>
      <t>Año de la era romana (</t>
    </r>
    <r>
      <rPr>
        <i/>
        <sz val="10"/>
        <rFont val="Arial"/>
        <family val="2"/>
      </rPr>
      <t>ab urbe condita</t>
    </r>
    <r>
      <rPr>
        <sz val="10"/>
        <rFont val="Arial"/>
        <family val="2"/>
      </rPr>
      <t>):</t>
    </r>
  </si>
  <si>
    <t>Año del calendario hebreo:</t>
  </si>
  <si>
    <t>Año del calendario musulmán:</t>
  </si>
  <si>
    <t>Año del calendario bizantino:</t>
  </si>
  <si>
    <t>Posición del sol en el zodíaco:</t>
  </si>
  <si>
    <t>Cálculo del calendario copto para</t>
  </si>
  <si>
    <t>Año inicial copto (11/9)</t>
  </si>
  <si>
    <t>d.C.</t>
  </si>
  <si>
    <t>10-12</t>
  </si>
  <si>
    <t>Romanche</t>
  </si>
  <si>
    <t>Rumantsch Grischun</t>
  </si>
  <si>
    <t>Pashkët</t>
  </si>
  <si>
    <t>Pascoa</t>
  </si>
  <si>
    <t>1582 (con la reforma gregoriana)</t>
  </si>
  <si>
    <t>Pascua: 15 de abril</t>
  </si>
  <si>
    <t>Kine ante</t>
  </si>
  <si>
    <t>Epu ante</t>
  </si>
  <si>
    <t>Kila ante</t>
  </si>
  <si>
    <t>Meli ante</t>
  </si>
  <si>
    <t>Kechu ante</t>
  </si>
  <si>
    <t>Cayu ante</t>
  </si>
  <si>
    <t>Regle ante</t>
  </si>
  <si>
    <t>Asturiano</t>
  </si>
  <si>
    <t>Domingu</t>
  </si>
  <si>
    <t>Llunes</t>
  </si>
  <si>
    <t>Xueves</t>
  </si>
  <si>
    <t>Sábadu</t>
  </si>
  <si>
    <t>Vienres</t>
  </si>
  <si>
    <t>Asturianu</t>
  </si>
  <si>
    <t>Xineru</t>
  </si>
  <si>
    <t>Febreru</t>
  </si>
  <si>
    <t>Mayu</t>
  </si>
  <si>
    <t>Xunu</t>
  </si>
  <si>
    <t>Xunetu</t>
  </si>
  <si>
    <t>Agostu</t>
  </si>
  <si>
    <t>Setiembre</t>
  </si>
  <si>
    <t>Payares</t>
  </si>
  <si>
    <t>Avientu</t>
  </si>
  <si>
    <t>Ochobre</t>
  </si>
  <si>
    <t>Asturian language</t>
  </si>
  <si>
    <t>Alto alemán medio</t>
  </si>
  <si>
    <r>
      <t>El altoalemán medio (Mittel</t>
    </r>
    <r>
      <rPr>
        <i/>
        <sz val="10"/>
        <rFont val="Arial"/>
        <family val="2"/>
      </rPr>
      <t>hochdeutsch</t>
    </r>
    <r>
      <rPr>
        <sz val="10"/>
        <rFont val="Arial"/>
        <family val="2"/>
      </rPr>
      <t>), hablado de 1050 a 1350, es el antepasado del actual alemán.</t>
    </r>
  </si>
  <si>
    <t>Gótico</t>
  </si>
  <si>
    <t>*gutisko razda</t>
  </si>
  <si>
    <t>naubaimbair</t>
  </si>
  <si>
    <t>jiuleis</t>
  </si>
  <si>
    <t>paska</t>
  </si>
  <si>
    <t>*areinsdags</t>
  </si>
  <si>
    <t>*paintedags</t>
  </si>
  <si>
    <t>*pareinsdags</t>
  </si>
  <si>
    <t>Cisne de cuello negro</t>
  </si>
  <si>
    <t>Cygnus melancoryphus</t>
  </si>
  <si>
    <t>3-7</t>
  </si>
  <si>
    <t>Cisne de Sudamérica</t>
  </si>
  <si>
    <t>Picaflor común</t>
  </si>
  <si>
    <t>Chlorostilbon aureoventris</t>
  </si>
  <si>
    <r>
      <t>Sin. colibrí; sin. cient.:</t>
    </r>
    <r>
      <rPr>
        <i/>
        <sz val="10"/>
        <rFont val="Arial"/>
        <family val="2"/>
      </rPr>
      <t xml:space="preserve"> Ch. lucidus</t>
    </r>
  </si>
  <si>
    <t>Tapir</t>
  </si>
  <si>
    <t>Cuniculus paca</t>
  </si>
  <si>
    <t>Sin.: paca</t>
  </si>
  <si>
    <t>Rumantsch</t>
  </si>
  <si>
    <t>Halcón peregrino</t>
  </si>
  <si>
    <t>Falco peregrinus</t>
  </si>
  <si>
    <t>Lista de datos</t>
  </si>
  <si>
    <t>Ojo: la lista desplegable no funciona si está en otra hoja.</t>
  </si>
  <si>
    <t>Mamífeos</t>
  </si>
  <si>
    <t>Aves</t>
  </si>
  <si>
    <t>Cultivos</t>
  </si>
  <si>
    <t>Sta. Úrsula y las 11.000 v´rgenes</t>
  </si>
  <si>
    <t>S. Valentín de Roma (suprimida en 1969)</t>
  </si>
  <si>
    <t>S. José Gabriel del Rosario Brochero (Cura Brochero)</t>
  </si>
  <si>
    <t>S. Héctor Valdivielso Sáez</t>
  </si>
  <si>
    <t>Tiempo expresado en días. Un cero indica sin datos.</t>
  </si>
  <si>
    <t>Cebuano</t>
  </si>
  <si>
    <t>Corso</t>
  </si>
  <si>
    <t>Eslovaco</t>
  </si>
  <si>
    <t>Vietnamita</t>
  </si>
  <si>
    <t>Corsican</t>
  </si>
  <si>
    <t>Slovak</t>
  </si>
  <si>
    <t>Vietnamese</t>
  </si>
  <si>
    <t>Sugbuanon</t>
  </si>
  <si>
    <t>Corsu</t>
  </si>
  <si>
    <t xml:space="preserve">Slovenský </t>
  </si>
  <si>
    <t>Tiếng Việt</t>
  </si>
  <si>
    <t>Dumenica</t>
  </si>
  <si>
    <t>Nçnedeľu</t>
  </si>
  <si>
    <t>Chủ nhật</t>
  </si>
  <si>
    <t>Pondelok</t>
  </si>
  <si>
    <t>Thứ hai</t>
  </si>
  <si>
    <t>Utorok</t>
  </si>
  <si>
    <t>Thứ ba</t>
  </si>
  <si>
    <t>Miyerkules</t>
  </si>
  <si>
    <t>Marcuri</t>
  </si>
  <si>
    <t>Thứ tư</t>
  </si>
  <si>
    <t>Ghjovi</t>
  </si>
  <si>
    <t>štvrtok</t>
  </si>
  <si>
    <t>Thứ năm</t>
  </si>
  <si>
    <t>Vennari</t>
  </si>
  <si>
    <t>Piatok</t>
  </si>
  <si>
    <t>Thứ sáu</t>
  </si>
  <si>
    <t>Sabatu</t>
  </si>
  <si>
    <t>Thứ bảy</t>
  </si>
  <si>
    <t>Ghjinnaghju</t>
  </si>
  <si>
    <t>Januára</t>
  </si>
  <si>
    <t>Tháng Giêng</t>
  </si>
  <si>
    <t>Febbraiu</t>
  </si>
  <si>
    <t>Februára</t>
  </si>
  <si>
    <t>Tháng 2</t>
  </si>
  <si>
    <t>Marca</t>
  </si>
  <si>
    <t>Bước đều</t>
  </si>
  <si>
    <t>Apríla</t>
  </si>
  <si>
    <t>Tháng tư</t>
  </si>
  <si>
    <t>Maghju</t>
  </si>
  <si>
    <t>Smieť</t>
  </si>
  <si>
    <t>Có thể</t>
  </si>
  <si>
    <t>Ghjugnu</t>
  </si>
  <si>
    <t>Júna</t>
  </si>
  <si>
    <t>Tháng sáu</t>
  </si>
  <si>
    <t>Lugliu</t>
  </si>
  <si>
    <t>Júla</t>
  </si>
  <si>
    <t>Tháng bảy</t>
  </si>
  <si>
    <t>Aostu</t>
  </si>
  <si>
    <t>Augusta</t>
  </si>
  <si>
    <t>Tháng tám</t>
  </si>
  <si>
    <t>Sittembre</t>
  </si>
  <si>
    <t>Septembra</t>
  </si>
  <si>
    <t>Tháng 9</t>
  </si>
  <si>
    <t>Októbra</t>
  </si>
  <si>
    <t>Tháng Mười</t>
  </si>
  <si>
    <t>Nuvembre</t>
  </si>
  <si>
    <t>Novembra</t>
  </si>
  <si>
    <t>Tháng mười một</t>
  </si>
  <si>
    <t>Disyembre</t>
  </si>
  <si>
    <t>Tháng 12</t>
  </si>
  <si>
    <t>Pasko sa Pagkabanhaw</t>
  </si>
  <si>
    <t>Veľká noc</t>
  </si>
  <si>
    <t>Phục Sinh</t>
  </si>
  <si>
    <t>Idioma hablado en Filipinas.</t>
  </si>
  <si>
    <t>Idioma hablado en la isla de Córcega</t>
  </si>
  <si>
    <t>Gregorian nga kalendaryo</t>
  </si>
  <si>
    <t>Calendariu gregorianu</t>
  </si>
  <si>
    <t>Gregoriánsky kalendár</t>
  </si>
  <si>
    <t>Lịch Gregorian</t>
  </si>
  <si>
    <t>Calendario gregoriano rehegua</t>
  </si>
  <si>
    <t>Calendari gregorià</t>
  </si>
  <si>
    <t>Gregorianischer Kalender</t>
  </si>
  <si>
    <t>Gregoriuse kalender</t>
  </si>
  <si>
    <t>Gregorian calendar</t>
  </si>
  <si>
    <t>Calendario gregoriano</t>
  </si>
  <si>
    <t>Gregoria kalendaro</t>
  </si>
  <si>
    <t>Egutegi gregoriano</t>
  </si>
  <si>
    <t>Calendrier grégorien</t>
  </si>
  <si>
    <t>Calendario gregorian</t>
  </si>
  <si>
    <t>Gregoriaanse kalender</t>
  </si>
  <si>
    <t>Kalendarz gregoriański</t>
  </si>
  <si>
    <t>Calendário gregoriano</t>
  </si>
  <si>
    <t>Gregorianska kalendern</t>
  </si>
  <si>
    <t>Middle High German</t>
  </si>
  <si>
    <t>Castellano medieval</t>
  </si>
  <si>
    <t>Old Spanish</t>
  </si>
  <si>
    <t>Castellano habldo en la penínsila ibérica entre los siglos IX y XV</t>
  </si>
  <si>
    <t>Mittelhochdeutsch</t>
  </si>
  <si>
    <t>Año: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</si>
</sst>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"/>
    <numFmt numFmtId="173" formatCode="mmmm\ d\,\ yyyy"/>
    <numFmt numFmtId="174" formatCode="d\-mmm\-yyyy"/>
    <numFmt numFmtId="175" formatCode="d\'\ mmm\'\ \a\a\a\a"/>
    <numFmt numFmtId="176" formatCode="dddd\ mmmm\ yyyy"/>
    <numFmt numFmtId="177" formatCode="dddd\ dd\ mmmm\ yyyy"/>
    <numFmt numFmtId="178" formatCode="dddd&quot;,&quot;\ dd\ mmmm\ yyyy"/>
    <numFmt numFmtId="179" formatCode="dddd&quot;,&quot;\ dd\ &quot;de&quot;\ mmmm\ &quot;de&quot;\ yyyy"/>
    <numFmt numFmtId="180" formatCode="dddd&quot;,&quot;\ d\ &quot;de&quot;\ mmmm\ &quot;de&quot;\ yyyy"/>
    <numFmt numFmtId="181" formatCode="mmm\-yyyy"/>
    <numFmt numFmtId="182" formatCode="[$-C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\-mmm;@"/>
    <numFmt numFmtId="188" formatCode="[$-2C0A]dddd\,\ dd&quot; de &quot;mmmm&quot; de &quot;yyyy"/>
    <numFmt numFmtId="189" formatCode="[$-F800]dddd\,\ mmmm\ dd\,\ yyyy"/>
    <numFmt numFmtId="190" formatCode="dd/mm/yyyy;@"/>
    <numFmt numFmtId="191" formatCode="[$-2C0A]dddd\,\ dd&quot; de &quot;mmmm&quot; de &quot;yyyy;@"/>
    <numFmt numFmtId="192" formatCode="[$-2C0A]dddd\ d&quot; de &quot;mmmm&quot; de &quot;yyyy;@"/>
    <numFmt numFmtId="193" formatCode="0.0"/>
    <numFmt numFmtId="194" formatCode="d/m/yy;@"/>
    <numFmt numFmtId="195" formatCode="[$-C0A]dddd\,\ d&quot; de &quot;mmmm&quot; de &quot;yyyy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6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color indexed="57"/>
      <name val="Arial"/>
      <family val="2"/>
    </font>
    <font>
      <b/>
      <sz val="11"/>
      <color indexed="57"/>
      <name val="Arial Narrow"/>
      <family val="2"/>
    </font>
    <font>
      <b/>
      <sz val="11"/>
      <color indexed="12"/>
      <name val="Arial Narrow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0"/>
      <name val="Symbol"/>
      <family val="1"/>
    </font>
    <font>
      <sz val="12"/>
      <name val="Symbol"/>
      <family val="1"/>
    </font>
    <font>
      <b/>
      <sz val="11"/>
      <name val="Arial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 quotePrefix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 quotePrefix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Alignment="1" quotePrefix="1">
      <alignment horizontal="right"/>
    </xf>
    <xf numFmtId="0" fontId="6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 quotePrefix="1">
      <alignment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/>
    </xf>
    <xf numFmtId="0" fontId="22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right"/>
    </xf>
    <xf numFmtId="187" fontId="22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21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 quotePrefix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190" fontId="0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22" fillId="0" borderId="0" xfId="0" applyFont="1" applyFill="1" applyAlignment="1" quotePrefix="1">
      <alignment/>
    </xf>
    <xf numFmtId="180" fontId="0" fillId="0" borderId="0" xfId="0" applyNumberFormat="1" applyFont="1" applyAlignment="1" applyProtection="1">
      <alignment horizontal="right"/>
      <protection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 horizontal="center"/>
    </xf>
    <xf numFmtId="0" fontId="19" fillId="0" borderId="0" xfId="45" applyAlignment="1" applyProtection="1">
      <alignment/>
      <protection/>
    </xf>
    <xf numFmtId="16" fontId="0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189" fontId="1" fillId="0" borderId="0" xfId="0" applyNumberFormat="1" applyFont="1" applyAlignment="1">
      <alignment horizontal="left"/>
    </xf>
    <xf numFmtId="0" fontId="15" fillId="0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190" fontId="21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9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 vertical="top"/>
    </xf>
    <xf numFmtId="0" fontId="27" fillId="0" borderId="0" xfId="0" applyFont="1" applyAlignment="1">
      <alignment/>
    </xf>
    <xf numFmtId="3" fontId="1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89" fontId="1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Fill="1" applyAlignment="1" quotePrefix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/>
    </xf>
    <xf numFmtId="16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90" fontId="1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7" xfId="0" applyNumberFormat="1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9" xfId="0" applyNumberFormat="1" applyBorder="1" applyAlignment="1" quotePrefix="1">
      <alignment/>
    </xf>
    <xf numFmtId="14" fontId="0" fillId="0" borderId="14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0" fillId="36" borderId="0" xfId="0" applyFont="1" applyFill="1" applyAlignment="1" quotePrefix="1">
      <alignment horizontal="center"/>
    </xf>
    <xf numFmtId="0" fontId="9" fillId="36" borderId="0" xfId="0" applyFont="1" applyFill="1" applyAlignment="1">
      <alignment vertical="center" wrapText="1"/>
    </xf>
    <xf numFmtId="0" fontId="0" fillId="36" borderId="0" xfId="0" applyFont="1" applyFill="1" applyAlignment="1">
      <alignment horizontal="center" vertical="center" wrapText="1"/>
    </xf>
    <xf numFmtId="16" fontId="0" fillId="36" borderId="0" xfId="0" applyNumberFormat="1" applyFont="1" applyFill="1" applyAlignment="1" quotePrefix="1">
      <alignment horizontal="center"/>
    </xf>
    <xf numFmtId="0" fontId="0" fillId="36" borderId="0" xfId="0" applyFont="1" applyFill="1" applyAlignment="1" quotePrefix="1">
      <alignment horizontal="center" vertical="center" wrapText="1"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14" xfId="0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189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" fontId="2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0" fontId="15" fillId="0" borderId="0" xfId="0" applyNumberFormat="1" applyFont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193" fontId="1" fillId="0" borderId="0" xfId="0" applyNumberFormat="1" applyFont="1" applyAlignment="1">
      <alignment horizontal="center"/>
    </xf>
    <xf numFmtId="194" fontId="1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right"/>
    </xf>
    <xf numFmtId="16" fontId="0" fillId="35" borderId="0" xfId="0" applyNumberFormat="1" applyFont="1" applyFill="1" applyAlignment="1" quotePrefix="1">
      <alignment horizontal="center"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 horizontal="left"/>
    </xf>
    <xf numFmtId="0" fontId="65" fillId="0" borderId="0" xfId="0" applyFont="1" applyAlignment="1" quotePrefix="1">
      <alignment horizontal="center"/>
    </xf>
    <xf numFmtId="0" fontId="66" fillId="0" borderId="0" xfId="0" applyFont="1" applyAlignment="1">
      <alignment/>
    </xf>
    <xf numFmtId="0" fontId="0" fillId="0" borderId="0" xfId="0" applyAlignment="1">
      <alignment horizontal="center"/>
    </xf>
    <xf numFmtId="192" fontId="1" fillId="0" borderId="0" xfId="0" applyNumberFormat="1" applyFont="1" applyAlignment="1" applyProtection="1">
      <alignment horizontal="left"/>
      <protection/>
    </xf>
    <xf numFmtId="0" fontId="15" fillId="0" borderId="0" xfId="0" applyNumberFormat="1" applyFont="1" applyAlignment="1" applyProtection="1">
      <alignment horizontal="left"/>
      <protection locked="0"/>
    </xf>
    <xf numFmtId="189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90" fontId="9" fillId="0" borderId="0" xfId="0" applyNumberFormat="1" applyFont="1" applyAlignment="1">
      <alignment horizontal="left"/>
    </xf>
    <xf numFmtId="0" fontId="28" fillId="37" borderId="0" xfId="0" applyFont="1" applyFill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6"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3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.wiktionary.org/wiki/geni%C3%A8r" TargetMode="External" /><Relationship Id="rId2" Type="http://schemas.openxmlformats.org/officeDocument/2006/relationships/hyperlink" Target="http://de.wiktionary.org/wiki/febri%C3%A8r" TargetMode="External" /><Relationship Id="rId3" Type="http://schemas.openxmlformats.org/officeDocument/2006/relationships/hyperlink" Target="http://de.wiktionary.org/wiki/mar%C3%A7" TargetMode="External" /><Relationship Id="rId4" Type="http://schemas.openxmlformats.org/officeDocument/2006/relationships/hyperlink" Target="http://de.wiktionary.org/wiki/abril" TargetMode="External" /><Relationship Id="rId5" Type="http://schemas.openxmlformats.org/officeDocument/2006/relationships/hyperlink" Target="http://de.wiktionary.org/wiki/mai" TargetMode="External" /><Relationship Id="rId6" Type="http://schemas.openxmlformats.org/officeDocument/2006/relationships/hyperlink" Target="http://de.wiktionary.org/wiki/junh" TargetMode="External" /><Relationship Id="rId7" Type="http://schemas.openxmlformats.org/officeDocument/2006/relationships/hyperlink" Target="http://de.wiktionary.org/wiki/julhet" TargetMode="External" /><Relationship Id="rId8" Type="http://schemas.openxmlformats.org/officeDocument/2006/relationships/hyperlink" Target="http://de.wiktionary.org/wiki/agost" TargetMode="External" /><Relationship Id="rId9" Type="http://schemas.openxmlformats.org/officeDocument/2006/relationships/hyperlink" Target="http://de.wiktionary.org/wiki/setembre" TargetMode="External" /><Relationship Id="rId10" Type="http://schemas.openxmlformats.org/officeDocument/2006/relationships/hyperlink" Target="http://de.wiktionary.org/wiki/oct%C3%B2bre" TargetMode="External" /><Relationship Id="rId11" Type="http://schemas.openxmlformats.org/officeDocument/2006/relationships/hyperlink" Target="http://de.wiktionary.org/wiki/novembre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ridentine_Calendar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showGridLines="0" showRowColHeaders="0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7" width="7.7109375" style="0" customWidth="1"/>
    <col min="8" max="8" width="8.7109375" style="0" customWidth="1"/>
    <col min="9" max="17" width="7.7109375" style="0" customWidth="1"/>
    <col min="18" max="22" width="7.7109375" style="0" hidden="1" customWidth="1"/>
    <col min="23" max="23" width="7.7109375" style="0" customWidth="1"/>
    <col min="24" max="24" width="9.7109375" style="0" customWidth="1"/>
    <col min="25" max="29" width="15.7109375" style="114" customWidth="1"/>
  </cols>
  <sheetData>
    <row r="1" spans="1:18" ht="12.75">
      <c r="A1" s="2" t="s">
        <v>1290</v>
      </c>
      <c r="D1" s="31" t="s">
        <v>1291</v>
      </c>
      <c r="E1" s="67">
        <v>2023</v>
      </c>
      <c r="F1" t="s">
        <v>220</v>
      </c>
      <c r="J1" s="54">
        <f>IF(E1&lt;1,E1+1,E1)</f>
        <v>2023</v>
      </c>
      <c r="K1" s="55">
        <f>IF(L1=1,"Bisiesto","")</f>
      </c>
      <c r="L1" s="56">
        <f>IF(MOD($J$1,4)=0,1,0)</f>
        <v>0</v>
      </c>
      <c r="M1" s="44"/>
      <c r="N1" s="55" t="s">
        <v>182</v>
      </c>
      <c r="O1" s="57">
        <f>365*J1+1+INT((J1-1)/4)</f>
        <v>738901</v>
      </c>
      <c r="R1" t="s">
        <v>183</v>
      </c>
    </row>
    <row r="2" spans="1:23" ht="12.75">
      <c r="A2" s="44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4"/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R2" s="1" t="s">
        <v>177</v>
      </c>
      <c r="S2" s="15">
        <f>IF($J$1&lt;1583,15,15+INT($J$1/100)-INT($J$1/100/3)-INT($J$1/100/4))</f>
        <v>24</v>
      </c>
      <c r="T2" s="1" t="s">
        <v>178</v>
      </c>
      <c r="U2" s="15">
        <f>IF($J$1&lt;1583,6,MOD(4+INT($J$1/100)-INT($J$1/100/4),7))</f>
        <v>5</v>
      </c>
      <c r="V2" s="1"/>
      <c r="W2" s="1"/>
    </row>
    <row r="3" spans="1:20" ht="12.75">
      <c r="A3" s="5"/>
      <c r="C3" s="4"/>
      <c r="R3" s="1" t="s">
        <v>179</v>
      </c>
      <c r="S3" s="16">
        <f>MOD(19*MOD($J$1,19)+S2,30)</f>
        <v>15</v>
      </c>
      <c r="T3" s="16">
        <f>IF(OR(AND(S3=29,S4=6),AND(S3=28,S4=6,MOD($J$1,19)&gt;10)),S3-7,S3)</f>
        <v>15</v>
      </c>
    </row>
    <row r="4" spans="1:24" ht="20.25">
      <c r="A4" s="13"/>
      <c r="D4" s="13"/>
      <c r="H4" s="14" t="str">
        <f>IF(E1=0,"No existe un año 0",IF(E1&lt;0,"Año "&amp;J1+753&amp;" de la era romana (a.u.c.) ("&amp;ABS(E1)&amp;" a.C.)","Año "&amp;J1+753&amp;" de la era romana (a.u.c.) ("&amp;E1&amp;" d.C.)"))</f>
        <v>Año 2776 de la era romana (a.u.c.) (2023 d.C.)</v>
      </c>
      <c r="R4" s="1" t="s">
        <v>180</v>
      </c>
      <c r="S4" s="16">
        <f>MOD(2*MOD($J$1,4)+4*MOD($J$1,7)+6*S3+U2,7)</f>
        <v>3</v>
      </c>
      <c r="T4" s="16">
        <f>S4</f>
        <v>3</v>
      </c>
      <c r="X4" s="152" t="s">
        <v>2073</v>
      </c>
    </row>
    <row r="5" spans="1:29" ht="20.25">
      <c r="A5" s="13"/>
      <c r="D5" s="13"/>
      <c r="H5" s="14"/>
      <c r="R5" s="1"/>
      <c r="S5" s="16"/>
      <c r="T5" s="16"/>
      <c r="X5" s="137"/>
      <c r="Y5" s="138"/>
      <c r="Z5" s="138"/>
      <c r="AA5" s="138"/>
      <c r="AB5" s="138"/>
      <c r="AC5" s="138"/>
    </row>
    <row r="6" spans="1:29" ht="15" customHeight="1">
      <c r="A6" s="5"/>
      <c r="B6" s="5"/>
      <c r="C6" s="5"/>
      <c r="D6" s="151" t="str">
        <f>IF($S$6&lt;1,"Ianuarius ","Ianuarius "&amp;ROMAN(ABS($S$6),0)&amp;" a.u.c.")</f>
        <v>Ianuarius MMDCCLXXVI a.u.c.</v>
      </c>
      <c r="E6" s="5"/>
      <c r="F6" s="5"/>
      <c r="G6" s="5"/>
      <c r="H6" s="5"/>
      <c r="I6" s="5"/>
      <c r="J6" s="5"/>
      <c r="K6" s="5"/>
      <c r="L6" s="151" t="str">
        <f>IF($S$6&lt;1,"Quintilis ",IF($S$6&lt;710,"Quintilis "&amp;ROMAN($S$6,0)&amp;" a.u.c.","Iulius "&amp;ROMAN(ABS($S$6),0)&amp;" a.u.c."))</f>
        <v>Iulius MMDCCLXXVI a.u.c.</v>
      </c>
      <c r="M6" s="5"/>
      <c r="N6" s="5"/>
      <c r="O6" s="5"/>
      <c r="R6" s="74" t="s">
        <v>1766</v>
      </c>
      <c r="S6" s="5">
        <f>J1+753</f>
        <v>2776</v>
      </c>
      <c r="X6" s="43" t="s">
        <v>2021</v>
      </c>
      <c r="Y6" s="43" t="s">
        <v>2040</v>
      </c>
      <c r="Z6" s="43" t="s">
        <v>2042</v>
      </c>
      <c r="AA6" s="43" t="s">
        <v>2112</v>
      </c>
      <c r="AB6" s="43" t="s">
        <v>2048</v>
      </c>
      <c r="AC6" s="43" t="s">
        <v>2048</v>
      </c>
    </row>
    <row r="7" spans="1:29" ht="12.75" customHeight="1">
      <c r="A7" s="20" t="s">
        <v>2118</v>
      </c>
      <c r="B7" s="20" t="s">
        <v>2119</v>
      </c>
      <c r="C7" s="20" t="s">
        <v>2120</v>
      </c>
      <c r="D7" s="20" t="s">
        <v>2121</v>
      </c>
      <c r="E7" s="20" t="s">
        <v>2122</v>
      </c>
      <c r="F7" s="20" t="s">
        <v>2123</v>
      </c>
      <c r="G7" s="20" t="s">
        <v>2124</v>
      </c>
      <c r="H7" s="12"/>
      <c r="I7" s="20" t="s">
        <v>2118</v>
      </c>
      <c r="J7" s="20" t="s">
        <v>2119</v>
      </c>
      <c r="K7" s="20" t="s">
        <v>2120</v>
      </c>
      <c r="L7" s="20" t="s">
        <v>2121</v>
      </c>
      <c r="M7" s="20" t="s">
        <v>2122</v>
      </c>
      <c r="N7" s="20" t="s">
        <v>2123</v>
      </c>
      <c r="O7" s="20" t="s">
        <v>2124</v>
      </c>
      <c r="P7" s="7"/>
      <c r="Q7" s="7"/>
      <c r="R7" s="7"/>
      <c r="X7" s="43" t="s">
        <v>2049</v>
      </c>
      <c r="Y7" s="43" t="s">
        <v>2041</v>
      </c>
      <c r="Z7" s="43" t="s">
        <v>2043</v>
      </c>
      <c r="AA7" s="43" t="s">
        <v>2047</v>
      </c>
      <c r="AB7" s="43" t="s">
        <v>2044</v>
      </c>
      <c r="AC7" s="43" t="s">
        <v>2045</v>
      </c>
    </row>
    <row r="8" spans="1:29" ht="12.75" customHeight="1">
      <c r="A8" s="20" t="s">
        <v>2117</v>
      </c>
      <c r="B8" s="20" t="s">
        <v>2117</v>
      </c>
      <c r="C8" s="20" t="s">
        <v>2117</v>
      </c>
      <c r="D8" s="20" t="s">
        <v>2117</v>
      </c>
      <c r="E8" s="20" t="s">
        <v>2117</v>
      </c>
      <c r="F8" s="20" t="s">
        <v>2117</v>
      </c>
      <c r="G8" s="20" t="s">
        <v>2117</v>
      </c>
      <c r="H8" s="12"/>
      <c r="I8" s="20" t="s">
        <v>2117</v>
      </c>
      <c r="J8" s="20" t="s">
        <v>2117</v>
      </c>
      <c r="K8" s="20" t="s">
        <v>2117</v>
      </c>
      <c r="L8" s="20" t="s">
        <v>2117</v>
      </c>
      <c r="M8" s="20" t="s">
        <v>2117</v>
      </c>
      <c r="N8" s="20" t="s">
        <v>2117</v>
      </c>
      <c r="O8" s="20" t="s">
        <v>2117</v>
      </c>
      <c r="P8" s="7"/>
      <c r="Q8" s="7"/>
      <c r="R8" s="7"/>
      <c r="X8" s="139"/>
      <c r="Y8" s="140"/>
      <c r="Z8" s="140"/>
      <c r="AA8" s="129" t="s">
        <v>2046</v>
      </c>
      <c r="AB8" s="140"/>
      <c r="AC8" s="140"/>
    </row>
    <row r="9" spans="1:29" ht="12.75" customHeight="1">
      <c r="A9" s="5">
        <f>IF($T$11=A$2,1,"")</f>
      </c>
      <c r="B9" s="5">
        <f aca="true" t="shared" si="0" ref="B9:G9">IF($T$11=B$2,1,IF(A9&lt;&gt;"",A9+1,""))</f>
      </c>
      <c r="C9" s="5">
        <f t="shared" si="0"/>
      </c>
      <c r="D9" s="5">
        <f t="shared" si="0"/>
      </c>
      <c r="E9" s="5">
        <f t="shared" si="0"/>
      </c>
      <c r="F9" s="5">
        <f t="shared" si="0"/>
      </c>
      <c r="G9" s="5">
        <f t="shared" si="0"/>
        <v>1</v>
      </c>
      <c r="H9" s="9"/>
      <c r="I9" s="5">
        <f>IF($T$17=I$2,1,"")</f>
      </c>
      <c r="J9" s="5">
        <f aca="true" t="shared" si="1" ref="J9:O9">IF($T$17=J$2,1,IF(I9&lt;&gt;"",I9+1,""))</f>
      </c>
      <c r="K9" s="5">
        <f t="shared" si="1"/>
      </c>
      <c r="L9" s="5">
        <f t="shared" si="1"/>
      </c>
      <c r="M9" s="5">
        <f t="shared" si="1"/>
      </c>
      <c r="N9" s="5">
        <f t="shared" si="1"/>
        <v>1</v>
      </c>
      <c r="O9" s="5">
        <f t="shared" si="1"/>
        <v>2</v>
      </c>
      <c r="P9" s="3"/>
      <c r="R9" t="s">
        <v>187</v>
      </c>
      <c r="V9" s="3"/>
      <c r="W9" s="3"/>
      <c r="X9" s="130">
        <v>1</v>
      </c>
      <c r="Y9" s="132" t="s">
        <v>2116</v>
      </c>
      <c r="Z9" s="132" t="s">
        <v>2116</v>
      </c>
      <c r="AA9" s="132" t="s">
        <v>2116</v>
      </c>
      <c r="AB9" s="132" t="s">
        <v>2116</v>
      </c>
      <c r="AC9" s="132" t="s">
        <v>2116</v>
      </c>
    </row>
    <row r="10" spans="1:29" ht="12.75" customHeight="1">
      <c r="A10" s="5">
        <f>IF(G9="","",IF(G9&lt;31,G9+1,""))</f>
        <v>2</v>
      </c>
      <c r="B10" s="5">
        <f aca="true" t="shared" si="2" ref="B10:G14">IF(A10="","",IF(A10&lt;31,A10+1,""))</f>
        <v>3</v>
      </c>
      <c r="C10" s="5">
        <f t="shared" si="2"/>
        <v>4</v>
      </c>
      <c r="D10" s="5">
        <f t="shared" si="2"/>
        <v>5</v>
      </c>
      <c r="E10" s="5">
        <f t="shared" si="2"/>
        <v>6</v>
      </c>
      <c r="F10" s="5">
        <f t="shared" si="2"/>
        <v>7</v>
      </c>
      <c r="G10" s="5">
        <f t="shared" si="2"/>
        <v>8</v>
      </c>
      <c r="H10" s="5"/>
      <c r="I10" s="5">
        <f>IF(O9="","",IF(O9&lt;31,O9+1,""))</f>
        <v>3</v>
      </c>
      <c r="J10" s="5">
        <f aca="true" t="shared" si="3" ref="J10:O14">IF(I10="","",IF(I10&lt;31,I10+1,""))</f>
        <v>4</v>
      </c>
      <c r="K10" s="5">
        <f t="shared" si="3"/>
        <v>5</v>
      </c>
      <c r="L10" s="5">
        <f t="shared" si="3"/>
        <v>6</v>
      </c>
      <c r="M10" s="5">
        <f t="shared" si="3"/>
        <v>7</v>
      </c>
      <c r="N10" s="5">
        <f t="shared" si="3"/>
        <v>8</v>
      </c>
      <c r="O10" s="5">
        <f t="shared" si="3"/>
        <v>9</v>
      </c>
      <c r="R10" s="1" t="s">
        <v>184</v>
      </c>
      <c r="S10" s="1" t="s">
        <v>185</v>
      </c>
      <c r="T10" s="1" t="s">
        <v>186</v>
      </c>
      <c r="V10" s="3"/>
      <c r="W10" s="3"/>
      <c r="X10" s="130">
        <v>2</v>
      </c>
      <c r="Y10" s="134" t="s">
        <v>2028</v>
      </c>
      <c r="Z10" s="134" t="s">
        <v>2030</v>
      </c>
      <c r="AA10" s="134" t="s">
        <v>2028</v>
      </c>
      <c r="AB10" s="134" t="s">
        <v>2028</v>
      </c>
      <c r="AC10" s="134" t="s">
        <v>2028</v>
      </c>
    </row>
    <row r="11" spans="1:29" ht="12.75" customHeight="1">
      <c r="A11" s="5">
        <f>IF(G10="","",IF(G10&lt;31,G10+1,""))</f>
        <v>9</v>
      </c>
      <c r="B11" s="5">
        <f t="shared" si="2"/>
        <v>10</v>
      </c>
      <c r="C11" s="5">
        <f t="shared" si="2"/>
        <v>11</v>
      </c>
      <c r="D11" s="5">
        <f t="shared" si="2"/>
        <v>12</v>
      </c>
      <c r="E11" s="5">
        <f t="shared" si="2"/>
        <v>13</v>
      </c>
      <c r="F11" s="5">
        <f t="shared" si="2"/>
        <v>14</v>
      </c>
      <c r="G11" s="5">
        <f t="shared" si="2"/>
        <v>15</v>
      </c>
      <c r="H11" s="5"/>
      <c r="I11" s="5">
        <f>IF(O10="","",IF(O10&lt;31,O10+1,""))</f>
        <v>10</v>
      </c>
      <c r="J11" s="5">
        <f t="shared" si="3"/>
        <v>11</v>
      </c>
      <c r="K11" s="5">
        <f t="shared" si="3"/>
        <v>12</v>
      </c>
      <c r="L11" s="5">
        <f t="shared" si="3"/>
        <v>13</v>
      </c>
      <c r="M11" s="5">
        <f t="shared" si="3"/>
        <v>14</v>
      </c>
      <c r="N11" s="5">
        <f t="shared" si="3"/>
        <v>15</v>
      </c>
      <c r="O11" s="5">
        <f t="shared" si="3"/>
        <v>16</v>
      </c>
      <c r="R11">
        <v>1</v>
      </c>
      <c r="S11">
        <f>O1</f>
        <v>738901</v>
      </c>
      <c r="T11">
        <f aca="true" t="shared" si="4" ref="T11:T23">IF(S11+INT(-S11/7+1)*7+5&gt;7,S11+INT(-S11/7+1)*7-2,S11+INT(-S11/7+1)*7+5)</f>
        <v>7</v>
      </c>
      <c r="X11" s="130">
        <v>3</v>
      </c>
      <c r="Y11" s="134" t="s">
        <v>2029</v>
      </c>
      <c r="Z11" s="134" t="s">
        <v>2031</v>
      </c>
      <c r="AA11" s="134" t="s">
        <v>2029</v>
      </c>
      <c r="AB11" s="134" t="s">
        <v>2029</v>
      </c>
      <c r="AC11" s="134" t="s">
        <v>2029</v>
      </c>
    </row>
    <row r="12" spans="1:29" ht="12.75" customHeight="1">
      <c r="A12" s="5">
        <f>IF(G11="","",IF(G11&lt;31,G11+1,""))</f>
        <v>16</v>
      </c>
      <c r="B12" s="5">
        <f t="shared" si="2"/>
        <v>17</v>
      </c>
      <c r="C12" s="5">
        <f t="shared" si="2"/>
        <v>18</v>
      </c>
      <c r="D12" s="5">
        <f t="shared" si="2"/>
        <v>19</v>
      </c>
      <c r="E12" s="5">
        <f t="shared" si="2"/>
        <v>20</v>
      </c>
      <c r="F12" s="5">
        <f t="shared" si="2"/>
        <v>21</v>
      </c>
      <c r="G12" s="5">
        <f t="shared" si="2"/>
        <v>22</v>
      </c>
      <c r="H12" s="5"/>
      <c r="I12" s="5">
        <f>IF(O11="","",IF(O11&lt;31,O11+1,""))</f>
        <v>17</v>
      </c>
      <c r="J12" s="5">
        <f t="shared" si="3"/>
        <v>18</v>
      </c>
      <c r="K12" s="5">
        <f t="shared" si="3"/>
        <v>19</v>
      </c>
      <c r="L12" s="5">
        <f t="shared" si="3"/>
        <v>20</v>
      </c>
      <c r="M12" s="5">
        <f t="shared" si="3"/>
        <v>21</v>
      </c>
      <c r="N12" s="5">
        <f t="shared" si="3"/>
        <v>22</v>
      </c>
      <c r="O12" s="5">
        <f t="shared" si="3"/>
        <v>23</v>
      </c>
      <c r="R12">
        <v>2</v>
      </c>
      <c r="S12">
        <f>S11+31</f>
        <v>738932</v>
      </c>
      <c r="T12">
        <f t="shared" si="4"/>
        <v>3</v>
      </c>
      <c r="W12" s="3"/>
      <c r="X12" s="130">
        <v>4</v>
      </c>
      <c r="Y12" s="134" t="s">
        <v>2038</v>
      </c>
      <c r="Z12" s="134" t="s">
        <v>2028</v>
      </c>
      <c r="AA12" s="134" t="s">
        <v>2038</v>
      </c>
      <c r="AB12" s="134" t="s">
        <v>2038</v>
      </c>
      <c r="AC12" s="134" t="s">
        <v>2038</v>
      </c>
    </row>
    <row r="13" spans="1:29" ht="12.75" customHeight="1">
      <c r="A13" s="5">
        <f>IF(G12="","",IF(G12&lt;31,G12+1,""))</f>
        <v>23</v>
      </c>
      <c r="B13" s="5">
        <f t="shared" si="2"/>
        <v>24</v>
      </c>
      <c r="C13" s="5">
        <f t="shared" si="2"/>
        <v>25</v>
      </c>
      <c r="D13" s="5">
        <f t="shared" si="2"/>
        <v>26</v>
      </c>
      <c r="E13" s="5">
        <f t="shared" si="2"/>
        <v>27</v>
      </c>
      <c r="F13" s="5">
        <f t="shared" si="2"/>
        <v>28</v>
      </c>
      <c r="G13" s="5">
        <f t="shared" si="2"/>
        <v>29</v>
      </c>
      <c r="H13" s="5"/>
      <c r="I13" s="5">
        <f>IF(O12="","",IF(O12&lt;31,O12+1,""))</f>
        <v>24</v>
      </c>
      <c r="J13" s="5">
        <f t="shared" si="3"/>
        <v>25</v>
      </c>
      <c r="K13" s="5">
        <f t="shared" si="3"/>
        <v>26</v>
      </c>
      <c r="L13" s="5">
        <f t="shared" si="3"/>
        <v>27</v>
      </c>
      <c r="M13" s="5">
        <f t="shared" si="3"/>
        <v>28</v>
      </c>
      <c r="N13" s="5">
        <f t="shared" si="3"/>
        <v>29</v>
      </c>
      <c r="O13" s="5">
        <f t="shared" si="3"/>
        <v>30</v>
      </c>
      <c r="R13">
        <v>3</v>
      </c>
      <c r="S13">
        <f>S12+$L$1+28</f>
        <v>738960</v>
      </c>
      <c r="T13">
        <f t="shared" si="4"/>
        <v>3</v>
      </c>
      <c r="X13" s="130">
        <v>5</v>
      </c>
      <c r="Y13" s="133" t="s">
        <v>2027</v>
      </c>
      <c r="Z13" s="134" t="s">
        <v>2029</v>
      </c>
      <c r="AA13" s="133" t="s">
        <v>2027</v>
      </c>
      <c r="AB13" s="133" t="s">
        <v>2027</v>
      </c>
      <c r="AC13" s="133" t="s">
        <v>2027</v>
      </c>
    </row>
    <row r="14" spans="1:29" ht="12.75" customHeight="1">
      <c r="A14" s="5">
        <f>IF(G13="","",IF(G13&lt;31,G13+1,""))</f>
        <v>30</v>
      </c>
      <c r="B14" s="5">
        <f t="shared" si="2"/>
        <v>31</v>
      </c>
      <c r="C14" s="5">
        <f t="shared" si="2"/>
      </c>
      <c r="D14" s="5">
        <f t="shared" si="2"/>
      </c>
      <c r="E14" s="5">
        <f t="shared" si="2"/>
      </c>
      <c r="F14" s="5">
        <f t="shared" si="2"/>
      </c>
      <c r="G14" s="5">
        <f t="shared" si="2"/>
      </c>
      <c r="H14" s="5"/>
      <c r="I14" s="5">
        <f>IF(O13="","",IF(O13&lt;31,O13+1,""))</f>
        <v>31</v>
      </c>
      <c r="J14" s="5">
        <f t="shared" si="3"/>
      </c>
      <c r="K14" s="5">
        <f t="shared" si="3"/>
      </c>
      <c r="L14" s="5">
        <f t="shared" si="3"/>
      </c>
      <c r="M14" s="5">
        <f t="shared" si="3"/>
      </c>
      <c r="N14" s="5">
        <f t="shared" si="3"/>
      </c>
      <c r="O14" s="5">
        <f t="shared" si="3"/>
      </c>
      <c r="R14">
        <v>4</v>
      </c>
      <c r="S14">
        <f>S13+31</f>
        <v>738991</v>
      </c>
      <c r="T14">
        <f t="shared" si="4"/>
        <v>6</v>
      </c>
      <c r="X14" s="130">
        <v>6</v>
      </c>
      <c r="Y14" s="134" t="s">
        <v>2032</v>
      </c>
      <c r="Z14" s="134" t="s">
        <v>2038</v>
      </c>
      <c r="AA14" s="134" t="s">
        <v>2032</v>
      </c>
      <c r="AB14" s="134" t="s">
        <v>2032</v>
      </c>
      <c r="AC14" s="134" t="s">
        <v>2032</v>
      </c>
    </row>
    <row r="15" spans="1:29" ht="12.75" customHeight="1">
      <c r="A15" s="5"/>
      <c r="B15" s="5"/>
      <c r="C15" s="5"/>
      <c r="D15" s="5"/>
      <c r="E15" s="5"/>
      <c r="F15" s="5"/>
      <c r="G15" s="9"/>
      <c r="H15" s="5"/>
      <c r="I15" s="5"/>
      <c r="J15" s="5"/>
      <c r="K15" s="5"/>
      <c r="L15" s="5"/>
      <c r="M15" s="5"/>
      <c r="N15" s="5"/>
      <c r="O15" s="5"/>
      <c r="R15">
        <v>5</v>
      </c>
      <c r="S15">
        <f>S14+30</f>
        <v>739021</v>
      </c>
      <c r="T15">
        <f t="shared" si="4"/>
        <v>1</v>
      </c>
      <c r="X15" s="130">
        <v>7</v>
      </c>
      <c r="Y15" s="134" t="s">
        <v>2033</v>
      </c>
      <c r="Z15" s="133" t="s">
        <v>2027</v>
      </c>
      <c r="AA15" s="134" t="s">
        <v>2033</v>
      </c>
      <c r="AB15" s="134" t="s">
        <v>2033</v>
      </c>
      <c r="AC15" s="134" t="s">
        <v>2033</v>
      </c>
    </row>
    <row r="16" spans="1:29" ht="15" customHeight="1">
      <c r="A16" s="5"/>
      <c r="B16" s="5"/>
      <c r="C16" s="5"/>
      <c r="D16" s="151" t="str">
        <f>IF($S$6&lt;1,"Februarius ","Februarius "&amp;ROMAN($S$6,0)&amp;" a.u.c.")</f>
        <v>Februarius MMDCCLXXVI a.u.c.</v>
      </c>
      <c r="E16" s="5"/>
      <c r="F16" s="5"/>
      <c r="G16" s="5"/>
      <c r="H16" s="5"/>
      <c r="I16" s="5"/>
      <c r="J16" s="5"/>
      <c r="K16" s="5"/>
      <c r="L16" s="151" t="str">
        <f>IF($S$6&lt;1,"Sextilis",IF($S$6&lt;731,"Sextilis "&amp;ROMAN($S$6,0)&amp;" a.u.c.","Augustus "&amp;ROMAN($S$6,0)&amp;" a.u.c."))</f>
        <v>Augustus MMDCCLXXVI a.u.c.</v>
      </c>
      <c r="M16" s="5"/>
      <c r="N16" s="5"/>
      <c r="O16" s="5"/>
      <c r="R16">
        <v>6</v>
      </c>
      <c r="S16">
        <f>S15+31</f>
        <v>739052</v>
      </c>
      <c r="T16">
        <f t="shared" si="4"/>
        <v>4</v>
      </c>
      <c r="X16" s="130">
        <v>8</v>
      </c>
      <c r="Y16" s="134" t="s">
        <v>2034</v>
      </c>
      <c r="Z16" s="134" t="s">
        <v>2032</v>
      </c>
      <c r="AA16" s="134" t="s">
        <v>2034</v>
      </c>
      <c r="AB16" s="134" t="s">
        <v>2034</v>
      </c>
      <c r="AC16" s="134" t="s">
        <v>2034</v>
      </c>
    </row>
    <row r="17" spans="1:29" ht="12.75" customHeight="1">
      <c r="A17" s="20" t="s">
        <v>2118</v>
      </c>
      <c r="B17" s="20" t="s">
        <v>2119</v>
      </c>
      <c r="C17" s="20" t="s">
        <v>2120</v>
      </c>
      <c r="D17" s="20" t="s">
        <v>2121</v>
      </c>
      <c r="E17" s="20" t="s">
        <v>2122</v>
      </c>
      <c r="F17" s="20" t="s">
        <v>2123</v>
      </c>
      <c r="G17" s="20" t="s">
        <v>2124</v>
      </c>
      <c r="H17" s="12"/>
      <c r="I17" s="20" t="s">
        <v>2118</v>
      </c>
      <c r="J17" s="20" t="s">
        <v>2119</v>
      </c>
      <c r="K17" s="20" t="s">
        <v>2120</v>
      </c>
      <c r="L17" s="20" t="s">
        <v>2121</v>
      </c>
      <c r="M17" s="20" t="s">
        <v>2122</v>
      </c>
      <c r="N17" s="20" t="s">
        <v>2123</v>
      </c>
      <c r="O17" s="20" t="s">
        <v>2124</v>
      </c>
      <c r="P17" s="7"/>
      <c r="Q17" s="7"/>
      <c r="R17">
        <v>7</v>
      </c>
      <c r="S17">
        <f>S16+30</f>
        <v>739082</v>
      </c>
      <c r="T17">
        <f t="shared" si="4"/>
        <v>6</v>
      </c>
      <c r="W17" s="7"/>
      <c r="X17" s="130">
        <v>9</v>
      </c>
      <c r="Y17" s="134" t="s">
        <v>2035</v>
      </c>
      <c r="Z17" s="134" t="s">
        <v>2033</v>
      </c>
      <c r="AA17" s="134" t="s">
        <v>2035</v>
      </c>
      <c r="AB17" s="134" t="s">
        <v>2035</v>
      </c>
      <c r="AC17" s="134" t="s">
        <v>2035</v>
      </c>
    </row>
    <row r="18" spans="1:29" ht="12.75" customHeight="1">
      <c r="A18" s="20" t="s">
        <v>2117</v>
      </c>
      <c r="B18" s="20" t="s">
        <v>2117</v>
      </c>
      <c r="C18" s="20" t="s">
        <v>2117</v>
      </c>
      <c r="D18" s="20" t="s">
        <v>2117</v>
      </c>
      <c r="E18" s="20" t="s">
        <v>2117</v>
      </c>
      <c r="F18" s="20" t="s">
        <v>2117</v>
      </c>
      <c r="G18" s="20" t="s">
        <v>2117</v>
      </c>
      <c r="H18" s="12"/>
      <c r="I18" s="20" t="s">
        <v>2117</v>
      </c>
      <c r="J18" s="20" t="s">
        <v>2117</v>
      </c>
      <c r="K18" s="20" t="s">
        <v>2117</v>
      </c>
      <c r="L18" s="20" t="s">
        <v>2117</v>
      </c>
      <c r="M18" s="20" t="s">
        <v>2117</v>
      </c>
      <c r="N18" s="20" t="s">
        <v>2117</v>
      </c>
      <c r="O18" s="20" t="s">
        <v>2117</v>
      </c>
      <c r="P18" s="7"/>
      <c r="Q18" s="7"/>
      <c r="W18" s="7"/>
      <c r="X18" s="130">
        <v>10</v>
      </c>
      <c r="Y18" s="134" t="s">
        <v>2036</v>
      </c>
      <c r="Z18" s="134" t="s">
        <v>2034</v>
      </c>
      <c r="AA18" s="134" t="s">
        <v>2036</v>
      </c>
      <c r="AB18" s="134" t="s">
        <v>2036</v>
      </c>
      <c r="AC18" s="134" t="s">
        <v>2036</v>
      </c>
    </row>
    <row r="19" spans="1:29" ht="12.75" customHeight="1">
      <c r="A19" s="5">
        <f>IF($T$12=A$2,1,"")</f>
      </c>
      <c r="B19" s="5">
        <f aca="true" t="shared" si="5" ref="B19:G19">IF($T$12=B$2,1,IF(A19&lt;&gt;"",A19+1,""))</f>
      </c>
      <c r="C19" s="5">
        <f t="shared" si="5"/>
        <v>1</v>
      </c>
      <c r="D19" s="5">
        <f t="shared" si="5"/>
        <v>2</v>
      </c>
      <c r="E19" s="5">
        <f t="shared" si="5"/>
        <v>3</v>
      </c>
      <c r="F19" s="5">
        <f t="shared" si="5"/>
        <v>4</v>
      </c>
      <c r="G19" s="5">
        <f t="shared" si="5"/>
        <v>5</v>
      </c>
      <c r="H19" s="9"/>
      <c r="I19" s="5">
        <f>IF($T$19=I$2,1,"")</f>
      </c>
      <c r="J19" s="5">
        <f aca="true" t="shared" si="6" ref="J19:O19">IF($T$19=J$2,1,IF(I19&lt;&gt;"",I19+1,""))</f>
        <v>1</v>
      </c>
      <c r="K19" s="5">
        <f t="shared" si="6"/>
        <v>2</v>
      </c>
      <c r="L19" s="5">
        <f t="shared" si="6"/>
        <v>3</v>
      </c>
      <c r="M19" s="5">
        <f t="shared" si="6"/>
        <v>4</v>
      </c>
      <c r="N19" s="5">
        <f t="shared" si="6"/>
        <v>5</v>
      </c>
      <c r="O19" s="5">
        <f t="shared" si="6"/>
        <v>6</v>
      </c>
      <c r="P19" s="3"/>
      <c r="Q19" s="3"/>
      <c r="R19">
        <v>8</v>
      </c>
      <c r="S19">
        <f>S17+31</f>
        <v>739113</v>
      </c>
      <c r="T19">
        <f t="shared" si="4"/>
        <v>2</v>
      </c>
      <c r="W19" s="3"/>
      <c r="X19" s="130">
        <v>11</v>
      </c>
      <c r="Y19" s="134" t="s">
        <v>2037</v>
      </c>
      <c r="Z19" s="134" t="s">
        <v>2035</v>
      </c>
      <c r="AA19" s="134" t="s">
        <v>2037</v>
      </c>
      <c r="AB19" s="134" t="s">
        <v>2037</v>
      </c>
      <c r="AC19" s="134" t="s">
        <v>2037</v>
      </c>
    </row>
    <row r="20" spans="1:29" ht="12.75" customHeight="1">
      <c r="A20" s="5">
        <f>IF(G19="","",IF(G19&lt;IF($L$1=1,29,28),G19+1,""))</f>
        <v>6</v>
      </c>
      <c r="B20" s="5">
        <f aca="true" t="shared" si="7" ref="B20:G23">IF(A20="","",IF(A20&lt;IF($L$1=1,29,28),A20+1,""))</f>
        <v>7</v>
      </c>
      <c r="C20" s="5">
        <f t="shared" si="7"/>
        <v>8</v>
      </c>
      <c r="D20" s="5">
        <f t="shared" si="7"/>
        <v>9</v>
      </c>
      <c r="E20" s="5">
        <f t="shared" si="7"/>
        <v>10</v>
      </c>
      <c r="F20" s="5">
        <f t="shared" si="7"/>
        <v>11</v>
      </c>
      <c r="G20" s="5">
        <f t="shared" si="7"/>
        <v>12</v>
      </c>
      <c r="H20" s="5"/>
      <c r="I20" s="5">
        <f>IF(O19="","",IF(O19&lt;31,O19+1,""))</f>
        <v>7</v>
      </c>
      <c r="J20" s="5">
        <f aca="true" t="shared" si="8" ref="J20:O24">IF(I20="","",IF(I20&lt;31,I20+1,""))</f>
        <v>8</v>
      </c>
      <c r="K20" s="5">
        <f t="shared" si="8"/>
        <v>9</v>
      </c>
      <c r="L20" s="5">
        <f t="shared" si="8"/>
        <v>10</v>
      </c>
      <c r="M20" s="5">
        <f t="shared" si="8"/>
        <v>11</v>
      </c>
      <c r="N20" s="5">
        <f t="shared" si="8"/>
        <v>12</v>
      </c>
      <c r="O20" s="5">
        <f t="shared" si="8"/>
        <v>13</v>
      </c>
      <c r="R20">
        <v>9</v>
      </c>
      <c r="S20">
        <f>S19+31</f>
        <v>739144</v>
      </c>
      <c r="T20">
        <f t="shared" si="4"/>
        <v>5</v>
      </c>
      <c r="X20" s="130">
        <v>12</v>
      </c>
      <c r="Y20" s="134" t="s">
        <v>2039</v>
      </c>
      <c r="Z20" s="134" t="s">
        <v>2036</v>
      </c>
      <c r="AA20" s="134" t="s">
        <v>2039</v>
      </c>
      <c r="AB20" s="134" t="s">
        <v>2039</v>
      </c>
      <c r="AC20" s="134" t="s">
        <v>2039</v>
      </c>
    </row>
    <row r="21" spans="1:29" ht="12.75" customHeight="1">
      <c r="A21" s="5">
        <f>IF(G20="","",IF(G20&lt;IF($L$1=1,29,28),G20+1,""))</f>
        <v>13</v>
      </c>
      <c r="B21" s="5">
        <f t="shared" si="7"/>
        <v>14</v>
      </c>
      <c r="C21" s="5">
        <f t="shared" si="7"/>
        <v>15</v>
      </c>
      <c r="D21" s="5">
        <f t="shared" si="7"/>
        <v>16</v>
      </c>
      <c r="E21" s="5">
        <f t="shared" si="7"/>
        <v>17</v>
      </c>
      <c r="F21" s="5">
        <f t="shared" si="7"/>
        <v>18</v>
      </c>
      <c r="G21" s="5">
        <f t="shared" si="7"/>
        <v>19</v>
      </c>
      <c r="H21" s="5"/>
      <c r="I21" s="5">
        <f>IF(O20="","",IF(O20&lt;31,O20+1,""))</f>
        <v>14</v>
      </c>
      <c r="J21" s="5">
        <f t="shared" si="8"/>
        <v>15</v>
      </c>
      <c r="K21" s="5">
        <f t="shared" si="8"/>
        <v>16</v>
      </c>
      <c r="L21" s="5">
        <f t="shared" si="8"/>
        <v>17</v>
      </c>
      <c r="M21" s="5">
        <f t="shared" si="8"/>
        <v>18</v>
      </c>
      <c r="N21" s="5">
        <f t="shared" si="8"/>
        <v>19</v>
      </c>
      <c r="O21" s="5">
        <f t="shared" si="8"/>
        <v>20</v>
      </c>
      <c r="R21">
        <v>10</v>
      </c>
      <c r="S21">
        <f>S20+30</f>
        <v>739174</v>
      </c>
      <c r="T21">
        <f t="shared" si="4"/>
        <v>7</v>
      </c>
      <c r="X21" s="130">
        <v>13</v>
      </c>
      <c r="Y21" s="131" t="s">
        <v>212</v>
      </c>
      <c r="Z21" s="134" t="s">
        <v>2037</v>
      </c>
      <c r="AA21" s="131" t="s">
        <v>212</v>
      </c>
      <c r="AB21" s="131" t="s">
        <v>212</v>
      </c>
      <c r="AC21" s="131" t="s">
        <v>212</v>
      </c>
    </row>
    <row r="22" spans="1:29" ht="12.75" customHeight="1">
      <c r="A22" s="9">
        <f>IF(G21="","",IF(G21&lt;IF($L$1=1,29,28),G21+1,""))</f>
        <v>20</v>
      </c>
      <c r="B22" s="5">
        <f t="shared" si="7"/>
        <v>21</v>
      </c>
      <c r="C22" s="5">
        <f t="shared" si="7"/>
        <v>22</v>
      </c>
      <c r="D22" s="5">
        <f t="shared" si="7"/>
        <v>23</v>
      </c>
      <c r="E22" s="5">
        <f t="shared" si="7"/>
        <v>24</v>
      </c>
      <c r="F22" s="5">
        <f t="shared" si="7"/>
        <v>25</v>
      </c>
      <c r="G22" s="5">
        <f t="shared" si="7"/>
        <v>26</v>
      </c>
      <c r="H22" s="5"/>
      <c r="I22" s="9">
        <f>IF(O21="","",IF(O21&lt;31,O21+1,""))</f>
        <v>21</v>
      </c>
      <c r="J22" s="5">
        <f t="shared" si="8"/>
        <v>22</v>
      </c>
      <c r="K22" s="5">
        <f t="shared" si="8"/>
        <v>23</v>
      </c>
      <c r="L22" s="5">
        <f t="shared" si="8"/>
        <v>24</v>
      </c>
      <c r="M22" s="5">
        <f t="shared" si="8"/>
        <v>25</v>
      </c>
      <c r="N22" s="5">
        <f t="shared" si="8"/>
        <v>26</v>
      </c>
      <c r="O22" s="5">
        <f t="shared" si="8"/>
        <v>27</v>
      </c>
      <c r="R22">
        <v>11</v>
      </c>
      <c r="S22">
        <f>S21+31</f>
        <v>739205</v>
      </c>
      <c r="T22">
        <f t="shared" si="4"/>
        <v>3</v>
      </c>
      <c r="X22" s="134">
        <v>14</v>
      </c>
      <c r="Y22" s="134" t="s">
        <v>2087</v>
      </c>
      <c r="Z22" s="134" t="s">
        <v>2039</v>
      </c>
      <c r="AA22" s="134" t="s">
        <v>2088</v>
      </c>
      <c r="AB22" s="134" t="s">
        <v>2089</v>
      </c>
      <c r="AC22" s="134" t="s">
        <v>2089</v>
      </c>
    </row>
    <row r="23" spans="1:29" ht="12.75" customHeight="1">
      <c r="A23" s="9">
        <f>IF(G22="","",IF(G22&lt;IF($L$1=1,29,28),G22+1,""))</f>
        <v>27</v>
      </c>
      <c r="B23" s="5">
        <f t="shared" si="7"/>
        <v>28</v>
      </c>
      <c r="C23" s="5">
        <f t="shared" si="7"/>
      </c>
      <c r="D23" s="5">
        <f t="shared" si="7"/>
      </c>
      <c r="E23" s="5">
        <f t="shared" si="7"/>
      </c>
      <c r="F23" s="5">
        <f t="shared" si="7"/>
      </c>
      <c r="G23" s="5">
        <f t="shared" si="7"/>
      </c>
      <c r="H23" s="5"/>
      <c r="I23" s="9">
        <f>IF(O22="","",IF(O22&lt;31,O22+1,""))</f>
        <v>28</v>
      </c>
      <c r="J23" s="5">
        <f t="shared" si="8"/>
        <v>29</v>
      </c>
      <c r="K23" s="5">
        <f t="shared" si="8"/>
        <v>30</v>
      </c>
      <c r="L23" s="5">
        <f t="shared" si="8"/>
        <v>31</v>
      </c>
      <c r="M23" s="5">
        <f t="shared" si="8"/>
      </c>
      <c r="N23" s="5">
        <f t="shared" si="8"/>
      </c>
      <c r="O23" s="5">
        <f t="shared" si="8"/>
      </c>
      <c r="R23">
        <v>12</v>
      </c>
      <c r="S23">
        <f>S22+30</f>
        <v>739235</v>
      </c>
      <c r="T23">
        <f t="shared" si="4"/>
        <v>5</v>
      </c>
      <c r="X23" s="134">
        <v>15</v>
      </c>
      <c r="Y23" s="134" t="s">
        <v>2088</v>
      </c>
      <c r="Z23" s="131" t="s">
        <v>212</v>
      </c>
      <c r="AA23" s="134" t="s">
        <v>2090</v>
      </c>
      <c r="AB23" s="134" t="s">
        <v>2091</v>
      </c>
      <c r="AC23" s="134" t="s">
        <v>2091</v>
      </c>
    </row>
    <row r="24" spans="1:29" ht="12.75" customHeight="1">
      <c r="A24" s="9">
        <f>IF(G23="","",IF(G23&lt;31,G23+1,""))</f>
      </c>
      <c r="B24" s="5">
        <f aca="true" t="shared" si="9" ref="B24:G24">IF(A24="","",IF(A24&lt;31,A24+1,""))</f>
      </c>
      <c r="C24" s="5">
        <f t="shared" si="9"/>
      </c>
      <c r="D24" s="5">
        <f t="shared" si="9"/>
      </c>
      <c r="E24" s="5">
        <f t="shared" si="9"/>
      </c>
      <c r="F24" s="5">
        <f t="shared" si="9"/>
      </c>
      <c r="G24" s="5">
        <f t="shared" si="9"/>
      </c>
      <c r="H24" s="5"/>
      <c r="I24" s="9">
        <f>IF(O23="","",IF(O23&lt;31,O23+1,""))</f>
      </c>
      <c r="J24" s="5">
        <f t="shared" si="8"/>
      </c>
      <c r="K24" s="5">
        <f t="shared" si="8"/>
      </c>
      <c r="L24" s="5">
        <f t="shared" si="8"/>
      </c>
      <c r="M24" s="5">
        <f t="shared" si="8"/>
      </c>
      <c r="N24" s="5">
        <f t="shared" si="8"/>
      </c>
      <c r="O24" s="5">
        <f t="shared" si="8"/>
      </c>
      <c r="X24" s="130">
        <v>16</v>
      </c>
      <c r="Y24" s="134" t="s">
        <v>2090</v>
      </c>
      <c r="Z24" s="134" t="s">
        <v>2090</v>
      </c>
      <c r="AA24" s="134" t="s">
        <v>2089</v>
      </c>
      <c r="AB24" s="134" t="s">
        <v>2092</v>
      </c>
      <c r="AC24" s="134" t="s">
        <v>2092</v>
      </c>
    </row>
    <row r="25" spans="1:29" ht="12.75" customHeight="1">
      <c r="A25" s="8"/>
      <c r="B25" s="5"/>
      <c r="C25" s="5"/>
      <c r="D25" s="5"/>
      <c r="E25" s="5"/>
      <c r="F25" s="5"/>
      <c r="G25" s="5"/>
      <c r="H25" s="5"/>
      <c r="I25" s="8"/>
      <c r="J25" s="5"/>
      <c r="K25" s="5"/>
      <c r="L25" s="5"/>
      <c r="M25" s="5"/>
      <c r="N25" s="5"/>
      <c r="O25" s="5"/>
      <c r="X25" s="130">
        <v>17</v>
      </c>
      <c r="Y25" s="134" t="s">
        <v>2089</v>
      </c>
      <c r="Z25" s="134" t="s">
        <v>2089</v>
      </c>
      <c r="AA25" s="134" t="s">
        <v>2091</v>
      </c>
      <c r="AB25" s="134" t="s">
        <v>2093</v>
      </c>
      <c r="AC25" s="134" t="s">
        <v>2093</v>
      </c>
    </row>
    <row r="26" spans="1:29" ht="15" customHeight="1">
      <c r="A26" s="5"/>
      <c r="B26" s="5"/>
      <c r="C26" s="5"/>
      <c r="D26" s="151" t="str">
        <f>IF($S$6&lt;1,"Martius ","Martius "&amp;ROMAN($S$6,0)&amp;" a.u.c.")</f>
        <v>Martius MMDCCLXXVI a.u.c.</v>
      </c>
      <c r="E26" s="5"/>
      <c r="F26" s="5"/>
      <c r="G26" s="5"/>
      <c r="H26" s="5"/>
      <c r="I26" s="5"/>
      <c r="J26" s="5"/>
      <c r="K26" s="5"/>
      <c r="L26" s="151" t="str">
        <f>IF($S$6&lt;1,"September ","September "&amp;ROMAN($S$6,0)&amp;" a.u.c.")</f>
        <v>September MMDCCLXXVI a.u.c.</v>
      </c>
      <c r="M26" s="5"/>
      <c r="N26" s="5"/>
      <c r="O26" s="5"/>
      <c r="R26" t="s">
        <v>188</v>
      </c>
      <c r="X26" s="130">
        <v>18</v>
      </c>
      <c r="Y26" s="134" t="s">
        <v>2091</v>
      </c>
      <c r="Z26" s="134" t="s">
        <v>2091</v>
      </c>
      <c r="AA26" s="134" t="s">
        <v>2092</v>
      </c>
      <c r="AB26" s="134" t="s">
        <v>2094</v>
      </c>
      <c r="AC26" s="134" t="s">
        <v>2094</v>
      </c>
    </row>
    <row r="27" spans="1:29" ht="12.75" customHeight="1">
      <c r="A27" s="20" t="s">
        <v>2118</v>
      </c>
      <c r="B27" s="20" t="s">
        <v>2119</v>
      </c>
      <c r="C27" s="20" t="s">
        <v>2120</v>
      </c>
      <c r="D27" s="20" t="s">
        <v>2121</v>
      </c>
      <c r="E27" s="20" t="s">
        <v>2122</v>
      </c>
      <c r="F27" s="20" t="s">
        <v>2123</v>
      </c>
      <c r="G27" s="20" t="s">
        <v>2124</v>
      </c>
      <c r="H27" s="12"/>
      <c r="I27" s="20" t="s">
        <v>2118</v>
      </c>
      <c r="J27" s="20" t="s">
        <v>2119</v>
      </c>
      <c r="K27" s="20" t="s">
        <v>2120</v>
      </c>
      <c r="L27" s="20" t="s">
        <v>2121</v>
      </c>
      <c r="M27" s="20" t="s">
        <v>2122</v>
      </c>
      <c r="N27" s="20" t="s">
        <v>2123</v>
      </c>
      <c r="O27" s="20" t="s">
        <v>2124</v>
      </c>
      <c r="P27" s="7"/>
      <c r="Q27" s="7"/>
      <c r="R27" s="7" t="s">
        <v>184</v>
      </c>
      <c r="T27" s="22" t="s">
        <v>210</v>
      </c>
      <c r="U27" s="25" t="s">
        <v>211</v>
      </c>
      <c r="V27" s="28" t="s">
        <v>212</v>
      </c>
      <c r="W27" s="7"/>
      <c r="X27" s="130">
        <v>19</v>
      </c>
      <c r="Y27" s="134" t="s">
        <v>2092</v>
      </c>
      <c r="Z27" s="134" t="s">
        <v>2092</v>
      </c>
      <c r="AA27" s="134" t="s">
        <v>2093</v>
      </c>
      <c r="AB27" s="134" t="s">
        <v>2095</v>
      </c>
      <c r="AC27" s="134" t="s">
        <v>2095</v>
      </c>
    </row>
    <row r="28" spans="1:29" ht="12.75" customHeight="1">
      <c r="A28" s="20" t="s">
        <v>2117</v>
      </c>
      <c r="B28" s="20" t="s">
        <v>2117</v>
      </c>
      <c r="C28" s="20" t="s">
        <v>2117</v>
      </c>
      <c r="D28" s="20" t="s">
        <v>2117</v>
      </c>
      <c r="E28" s="20" t="s">
        <v>2117</v>
      </c>
      <c r="F28" s="20" t="s">
        <v>2117</v>
      </c>
      <c r="G28" s="20" t="s">
        <v>2117</v>
      </c>
      <c r="H28" s="12"/>
      <c r="I28" s="20" t="s">
        <v>2117</v>
      </c>
      <c r="J28" s="20" t="s">
        <v>2117</v>
      </c>
      <c r="K28" s="20" t="s">
        <v>2117</v>
      </c>
      <c r="L28" s="20" t="s">
        <v>2117</v>
      </c>
      <c r="M28" s="20" t="s">
        <v>2117</v>
      </c>
      <c r="N28" s="20" t="s">
        <v>2117</v>
      </c>
      <c r="O28" s="20" t="s">
        <v>2117</v>
      </c>
      <c r="P28" s="7"/>
      <c r="Q28" s="7"/>
      <c r="R28" s="7"/>
      <c r="T28" s="22"/>
      <c r="U28" s="25"/>
      <c r="V28" s="28"/>
      <c r="W28" s="7"/>
      <c r="X28" s="130">
        <v>20</v>
      </c>
      <c r="Y28" s="134" t="s">
        <v>2093</v>
      </c>
      <c r="Z28" s="134" t="s">
        <v>2093</v>
      </c>
      <c r="AA28" s="134" t="s">
        <v>2094</v>
      </c>
      <c r="AB28" s="134" t="s">
        <v>2096</v>
      </c>
      <c r="AC28" s="134" t="s">
        <v>2096</v>
      </c>
    </row>
    <row r="29" spans="1:29" ht="12.75" customHeight="1">
      <c r="A29" s="5">
        <f>IF($T$13=A$2,1,"")</f>
      </c>
      <c r="B29" s="5">
        <f aca="true" t="shared" si="10" ref="B29:G29">IF($T$13=B$2,1,IF(A29&lt;&gt;"",A29+1,""))</f>
      </c>
      <c r="C29" s="5">
        <f t="shared" si="10"/>
        <v>1</v>
      </c>
      <c r="D29" s="5">
        <f t="shared" si="10"/>
        <v>2</v>
      </c>
      <c r="E29" s="5">
        <f t="shared" si="10"/>
        <v>3</v>
      </c>
      <c r="F29" s="5">
        <f t="shared" si="10"/>
        <v>4</v>
      </c>
      <c r="G29" s="5">
        <f t="shared" si="10"/>
        <v>5</v>
      </c>
      <c r="H29" s="9"/>
      <c r="I29" s="5">
        <f>IF($T$20=I$2,1,"")</f>
      </c>
      <c r="J29" s="5">
        <f aca="true" t="shared" si="11" ref="J29:O29">IF($T$20=J$2,1,IF(I29&lt;&gt;"",I29+1,""))</f>
      </c>
      <c r="K29" s="5">
        <f t="shared" si="11"/>
      </c>
      <c r="L29" s="5">
        <f t="shared" si="11"/>
      </c>
      <c r="M29" s="5">
        <f t="shared" si="11"/>
        <v>1</v>
      </c>
      <c r="N29" s="5">
        <f t="shared" si="11"/>
        <v>2</v>
      </c>
      <c r="O29" s="5">
        <f t="shared" si="11"/>
        <v>3</v>
      </c>
      <c r="P29" s="3"/>
      <c r="Q29" s="3"/>
      <c r="R29" t="s">
        <v>189</v>
      </c>
      <c r="T29" s="23">
        <v>1</v>
      </c>
      <c r="U29" s="26">
        <v>5</v>
      </c>
      <c r="V29" s="29">
        <v>13</v>
      </c>
      <c r="W29" s="3"/>
      <c r="X29" s="130">
        <v>21</v>
      </c>
      <c r="Y29" s="134" t="s">
        <v>2094</v>
      </c>
      <c r="Z29" s="134" t="s">
        <v>2094</v>
      </c>
      <c r="AA29" s="134" t="s">
        <v>2095</v>
      </c>
      <c r="AB29" s="134" t="s">
        <v>2097</v>
      </c>
      <c r="AC29" s="134" t="s">
        <v>2097</v>
      </c>
    </row>
    <row r="30" spans="1:29" ht="12.75" customHeight="1">
      <c r="A30" s="5">
        <f>IF(G29="","",IF(G29&lt;31,G29+1,""))</f>
        <v>6</v>
      </c>
      <c r="B30" s="5">
        <f aca="true" t="shared" si="12" ref="B30:G34">IF(A30="","",IF(A30&lt;31,A30+1,""))</f>
        <v>7</v>
      </c>
      <c r="C30" s="5">
        <f t="shared" si="12"/>
        <v>8</v>
      </c>
      <c r="D30" s="5">
        <f t="shared" si="12"/>
        <v>9</v>
      </c>
      <c r="E30" s="5">
        <f t="shared" si="12"/>
        <v>10</v>
      </c>
      <c r="F30" s="5">
        <f t="shared" si="12"/>
        <v>11</v>
      </c>
      <c r="G30" s="5">
        <f t="shared" si="12"/>
        <v>12</v>
      </c>
      <c r="H30" s="5"/>
      <c r="I30" s="5">
        <f>IF(O29="","",IF(O29&lt;30,O29+1,""))</f>
        <v>4</v>
      </c>
      <c r="J30" s="5">
        <f aca="true" t="shared" si="13" ref="J30:O34">IF(I30="","",IF(I30&lt;30,I30+1,""))</f>
        <v>5</v>
      </c>
      <c r="K30" s="5">
        <f t="shared" si="13"/>
        <v>6</v>
      </c>
      <c r="L30" s="5">
        <f t="shared" si="13"/>
        <v>7</v>
      </c>
      <c r="M30" s="5">
        <f t="shared" si="13"/>
        <v>8</v>
      </c>
      <c r="N30" s="5">
        <f t="shared" si="13"/>
        <v>9</v>
      </c>
      <c r="O30" s="5">
        <f t="shared" si="13"/>
        <v>10</v>
      </c>
      <c r="R30" t="s">
        <v>199</v>
      </c>
      <c r="T30" s="24">
        <v>1</v>
      </c>
      <c r="U30" s="27">
        <v>5</v>
      </c>
      <c r="V30" s="30">
        <v>13</v>
      </c>
      <c r="X30" s="130">
        <v>22</v>
      </c>
      <c r="Y30" s="134" t="s">
        <v>2095</v>
      </c>
      <c r="Z30" s="134" t="s">
        <v>2095</v>
      </c>
      <c r="AA30" s="134" t="s">
        <v>2096</v>
      </c>
      <c r="AB30" s="134" t="s">
        <v>2098</v>
      </c>
      <c r="AC30" s="134" t="s">
        <v>2098</v>
      </c>
    </row>
    <row r="31" spans="1:29" ht="12.75" customHeight="1">
      <c r="A31" s="5">
        <f>IF(G30="","",IF(G30&lt;31,G30+1,""))</f>
        <v>13</v>
      </c>
      <c r="B31" s="5">
        <f t="shared" si="12"/>
        <v>14</v>
      </c>
      <c r="C31" s="5">
        <f t="shared" si="12"/>
        <v>15</v>
      </c>
      <c r="D31" s="5">
        <f t="shared" si="12"/>
        <v>16</v>
      </c>
      <c r="E31" s="5">
        <f t="shared" si="12"/>
        <v>17</v>
      </c>
      <c r="F31" s="5">
        <f t="shared" si="12"/>
        <v>18</v>
      </c>
      <c r="G31" s="5">
        <f t="shared" si="12"/>
        <v>19</v>
      </c>
      <c r="H31" s="5"/>
      <c r="I31" s="5">
        <f>IF(O30="","",IF(O30&lt;30,O30+1,""))</f>
        <v>11</v>
      </c>
      <c r="J31" s="5">
        <f t="shared" si="13"/>
        <v>12</v>
      </c>
      <c r="K31" s="5">
        <f t="shared" si="13"/>
        <v>13</v>
      </c>
      <c r="L31" s="5">
        <f t="shared" si="13"/>
        <v>14</v>
      </c>
      <c r="M31" s="5">
        <f t="shared" si="13"/>
        <v>15</v>
      </c>
      <c r="N31" s="5">
        <f t="shared" si="13"/>
        <v>16</v>
      </c>
      <c r="O31" s="5">
        <f t="shared" si="13"/>
        <v>17</v>
      </c>
      <c r="R31" t="s">
        <v>200</v>
      </c>
      <c r="T31" s="24">
        <v>1</v>
      </c>
      <c r="U31" s="27">
        <v>7</v>
      </c>
      <c r="V31" s="30">
        <v>15</v>
      </c>
      <c r="X31" s="130">
        <v>23</v>
      </c>
      <c r="Y31" s="134" t="s">
        <v>2096</v>
      </c>
      <c r="Z31" s="134" t="s">
        <v>2096</v>
      </c>
      <c r="AA31" s="134" t="s">
        <v>2097</v>
      </c>
      <c r="AB31" s="134" t="s">
        <v>2099</v>
      </c>
      <c r="AC31" s="134" t="s">
        <v>2099</v>
      </c>
    </row>
    <row r="32" spans="1:29" ht="12.75" customHeight="1">
      <c r="A32" s="9">
        <f>IF(G31="","",IF(G31&lt;31,G31+1,""))</f>
        <v>20</v>
      </c>
      <c r="B32" s="5">
        <f t="shared" si="12"/>
        <v>21</v>
      </c>
      <c r="C32" s="5">
        <f t="shared" si="12"/>
        <v>22</v>
      </c>
      <c r="D32" s="5">
        <f t="shared" si="12"/>
        <v>23</v>
      </c>
      <c r="E32" s="5">
        <f t="shared" si="12"/>
        <v>24</v>
      </c>
      <c r="F32" s="5">
        <f t="shared" si="12"/>
        <v>25</v>
      </c>
      <c r="G32" s="5">
        <f t="shared" si="12"/>
        <v>26</v>
      </c>
      <c r="H32" s="5"/>
      <c r="I32" s="9">
        <f>IF(O31="","",IF(O31&lt;30,O31+1,""))</f>
        <v>18</v>
      </c>
      <c r="J32" s="5">
        <f t="shared" si="13"/>
        <v>19</v>
      </c>
      <c r="K32" s="5">
        <f t="shared" si="13"/>
        <v>20</v>
      </c>
      <c r="L32" s="5">
        <f t="shared" si="13"/>
        <v>21</v>
      </c>
      <c r="M32" s="5">
        <f t="shared" si="13"/>
        <v>22</v>
      </c>
      <c r="N32" s="5">
        <f t="shared" si="13"/>
        <v>23</v>
      </c>
      <c r="O32" s="5">
        <f t="shared" si="13"/>
        <v>24</v>
      </c>
      <c r="R32" t="s">
        <v>201</v>
      </c>
      <c r="T32" s="23">
        <v>1</v>
      </c>
      <c r="U32" s="27">
        <v>5</v>
      </c>
      <c r="V32" s="29">
        <v>13</v>
      </c>
      <c r="X32" s="130">
        <v>24</v>
      </c>
      <c r="Y32" s="134" t="s">
        <v>2097</v>
      </c>
      <c r="Z32" s="134" t="s">
        <v>2097</v>
      </c>
      <c r="AA32" s="134" t="s">
        <v>2098</v>
      </c>
      <c r="AB32" s="134" t="s">
        <v>2100</v>
      </c>
      <c r="AC32" s="136" t="s">
        <v>2100</v>
      </c>
    </row>
    <row r="33" spans="1:29" ht="12.75" customHeight="1">
      <c r="A33" s="9">
        <f>IF(G32="","",IF(G32&lt;31,G32+1,""))</f>
        <v>27</v>
      </c>
      <c r="B33" s="5">
        <f t="shared" si="12"/>
        <v>28</v>
      </c>
      <c r="C33" s="5">
        <f t="shared" si="12"/>
        <v>29</v>
      </c>
      <c r="D33" s="5">
        <f t="shared" si="12"/>
        <v>30</v>
      </c>
      <c r="E33" s="5">
        <f t="shared" si="12"/>
        <v>31</v>
      </c>
      <c r="F33" s="5">
        <f t="shared" si="12"/>
      </c>
      <c r="G33" s="5">
        <f t="shared" si="12"/>
      </c>
      <c r="H33" s="5"/>
      <c r="I33" s="9">
        <f>IF(O32="","",IF(O32&lt;30,O32+1,""))</f>
        <v>25</v>
      </c>
      <c r="J33" s="5">
        <f t="shared" si="13"/>
        <v>26</v>
      </c>
      <c r="K33" s="5">
        <f t="shared" si="13"/>
        <v>27</v>
      </c>
      <c r="L33" s="5">
        <f t="shared" si="13"/>
        <v>28</v>
      </c>
      <c r="M33" s="5">
        <f t="shared" si="13"/>
        <v>29</v>
      </c>
      <c r="N33" s="5">
        <f t="shared" si="13"/>
        <v>30</v>
      </c>
      <c r="O33" s="5">
        <f t="shared" si="13"/>
      </c>
      <c r="R33" t="s">
        <v>202</v>
      </c>
      <c r="T33" s="24">
        <v>1</v>
      </c>
      <c r="U33" s="27">
        <v>7</v>
      </c>
      <c r="V33" s="30">
        <v>15</v>
      </c>
      <c r="X33" s="130">
        <v>25</v>
      </c>
      <c r="Y33" s="134" t="s">
        <v>2098</v>
      </c>
      <c r="Z33" s="134" t="s">
        <v>2098</v>
      </c>
      <c r="AA33" s="134" t="s">
        <v>2099</v>
      </c>
      <c r="AB33" s="134" t="s">
        <v>2101</v>
      </c>
      <c r="AC33" s="147" t="s">
        <v>2100</v>
      </c>
    </row>
    <row r="34" spans="1:29" ht="12.75" customHeight="1">
      <c r="A34" s="9">
        <f>IF(G33="","",IF(G33&lt;31,G33+1,""))</f>
      </c>
      <c r="B34" s="5">
        <f t="shared" si="12"/>
      </c>
      <c r="C34" s="5">
        <f t="shared" si="12"/>
      </c>
      <c r="D34" s="5">
        <f t="shared" si="12"/>
      </c>
      <c r="E34" s="5">
        <f t="shared" si="12"/>
      </c>
      <c r="F34" s="5">
        <f t="shared" si="12"/>
      </c>
      <c r="G34" s="5">
        <f t="shared" si="12"/>
      </c>
      <c r="H34" s="5"/>
      <c r="I34" s="9">
        <f>IF(O33="","",IF(O33&lt;30,O33+1,""))</f>
      </c>
      <c r="J34" s="5">
        <f t="shared" si="13"/>
      </c>
      <c r="K34" s="5">
        <f t="shared" si="13"/>
      </c>
      <c r="L34" s="5">
        <f t="shared" si="13"/>
      </c>
      <c r="M34" s="5">
        <f t="shared" si="13"/>
      </c>
      <c r="N34" s="5">
        <f t="shared" si="13"/>
      </c>
      <c r="O34" s="5">
        <f t="shared" si="13"/>
      </c>
      <c r="R34" t="s">
        <v>203</v>
      </c>
      <c r="T34" s="24">
        <v>1</v>
      </c>
      <c r="U34" s="27">
        <v>5</v>
      </c>
      <c r="V34" s="29">
        <v>13</v>
      </c>
      <c r="X34" s="130">
        <v>26</v>
      </c>
      <c r="Y34" s="134" t="s">
        <v>2099</v>
      </c>
      <c r="Z34" s="134" t="s">
        <v>2099</v>
      </c>
      <c r="AA34" s="134" t="s">
        <v>2100</v>
      </c>
      <c r="AB34" s="134" t="s">
        <v>2102</v>
      </c>
      <c r="AC34" s="134" t="s">
        <v>2101</v>
      </c>
    </row>
    <row r="35" spans="1:29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R35" t="s">
        <v>204</v>
      </c>
      <c r="T35" s="23">
        <v>1</v>
      </c>
      <c r="U35" s="27">
        <v>7</v>
      </c>
      <c r="V35" s="30">
        <v>15</v>
      </c>
      <c r="X35" s="130">
        <v>27</v>
      </c>
      <c r="Y35" s="134" t="s">
        <v>2100</v>
      </c>
      <c r="Z35" s="134" t="s">
        <v>2100</v>
      </c>
      <c r="AA35" s="134" t="s">
        <v>2101</v>
      </c>
      <c r="AB35" s="134" t="s">
        <v>2103</v>
      </c>
      <c r="AC35" s="134" t="s">
        <v>2102</v>
      </c>
    </row>
    <row r="36" spans="1:29" ht="15" customHeight="1">
      <c r="A36" s="5"/>
      <c r="B36" s="5"/>
      <c r="C36" s="5"/>
      <c r="D36" s="151" t="str">
        <f>IF($S$6&lt;1,"Aprilis ","Aprilis "&amp;ROMAN($S$6,0)&amp;" a.u.c.")</f>
        <v>Aprilis MMDCCLXXVI a.u.c.</v>
      </c>
      <c r="E36" s="5"/>
      <c r="F36" s="5"/>
      <c r="G36" s="5"/>
      <c r="H36" s="5"/>
      <c r="I36" s="5"/>
      <c r="J36" s="5"/>
      <c r="K36" s="5"/>
      <c r="L36" s="151" t="str">
        <f>IF($S$6&lt;1,"October ","October "&amp;ROMAN($S$6,0)&amp;" a.u.c.")</f>
        <v>October MMDCCLXXVI a.u.c.</v>
      </c>
      <c r="M36" s="5"/>
      <c r="N36" s="5"/>
      <c r="O36" s="5"/>
      <c r="R36" t="s">
        <v>205</v>
      </c>
      <c r="T36" s="24">
        <v>1</v>
      </c>
      <c r="U36" s="27">
        <v>5</v>
      </c>
      <c r="V36" s="29">
        <v>13</v>
      </c>
      <c r="X36" s="130">
        <v>28</v>
      </c>
      <c r="Y36" s="134" t="s">
        <v>2101</v>
      </c>
      <c r="Z36" s="134" t="s">
        <v>2101</v>
      </c>
      <c r="AA36" s="134" t="s">
        <v>2102</v>
      </c>
      <c r="AB36" s="134" t="s">
        <v>2104</v>
      </c>
      <c r="AC36" s="134" t="s">
        <v>2103</v>
      </c>
    </row>
    <row r="37" spans="1:29" ht="12.75" customHeight="1">
      <c r="A37" s="20" t="s">
        <v>2118</v>
      </c>
      <c r="B37" s="20" t="s">
        <v>2119</v>
      </c>
      <c r="C37" s="20" t="s">
        <v>2120</v>
      </c>
      <c r="D37" s="20" t="s">
        <v>2121</v>
      </c>
      <c r="E37" s="20" t="s">
        <v>2122</v>
      </c>
      <c r="F37" s="20" t="s">
        <v>2123</v>
      </c>
      <c r="G37" s="20" t="s">
        <v>2124</v>
      </c>
      <c r="H37" s="12"/>
      <c r="I37" s="20" t="s">
        <v>2118</v>
      </c>
      <c r="J37" s="20" t="s">
        <v>2119</v>
      </c>
      <c r="K37" s="20" t="s">
        <v>2120</v>
      </c>
      <c r="L37" s="20" t="s">
        <v>2121</v>
      </c>
      <c r="M37" s="20" t="s">
        <v>2122</v>
      </c>
      <c r="N37" s="20" t="s">
        <v>2123</v>
      </c>
      <c r="O37" s="20" t="s">
        <v>2124</v>
      </c>
      <c r="P37" s="7"/>
      <c r="Q37" s="7"/>
      <c r="R37" t="s">
        <v>206</v>
      </c>
      <c r="T37" s="24">
        <v>1</v>
      </c>
      <c r="U37" s="25">
        <v>5</v>
      </c>
      <c r="V37" s="29">
        <v>13</v>
      </c>
      <c r="W37" s="7"/>
      <c r="X37" s="130">
        <v>29</v>
      </c>
      <c r="Y37" s="134" t="s">
        <v>2102</v>
      </c>
      <c r="Z37" s="134" t="s">
        <v>2102</v>
      </c>
      <c r="AA37" s="134" t="s">
        <v>2103</v>
      </c>
      <c r="AB37" s="71"/>
      <c r="AC37" s="134" t="s">
        <v>2104</v>
      </c>
    </row>
    <row r="38" spans="1:29" ht="12.75" customHeight="1">
      <c r="A38" s="20" t="s">
        <v>2117</v>
      </c>
      <c r="B38" s="20" t="s">
        <v>2117</v>
      </c>
      <c r="C38" s="20" t="s">
        <v>2117</v>
      </c>
      <c r="D38" s="20" t="s">
        <v>2117</v>
      </c>
      <c r="E38" s="20" t="s">
        <v>2117</v>
      </c>
      <c r="F38" s="20" t="s">
        <v>2117</v>
      </c>
      <c r="G38" s="20" t="s">
        <v>2117</v>
      </c>
      <c r="H38" s="12"/>
      <c r="I38" s="20" t="s">
        <v>2117</v>
      </c>
      <c r="J38" s="20" t="s">
        <v>2117</v>
      </c>
      <c r="K38" s="20" t="s">
        <v>2117</v>
      </c>
      <c r="L38" s="20" t="s">
        <v>2117</v>
      </c>
      <c r="M38" s="20" t="s">
        <v>2117</v>
      </c>
      <c r="N38" s="20" t="s">
        <v>2117</v>
      </c>
      <c r="O38" s="20" t="s">
        <v>2117</v>
      </c>
      <c r="P38" s="7"/>
      <c r="Q38" s="7"/>
      <c r="T38" s="24"/>
      <c r="U38" s="25"/>
      <c r="V38" s="29"/>
      <c r="W38" s="7"/>
      <c r="X38" s="130">
        <v>30</v>
      </c>
      <c r="Y38" s="134" t="s">
        <v>2103</v>
      </c>
      <c r="Z38" s="134" t="s">
        <v>2103</v>
      </c>
      <c r="AA38" s="134" t="s">
        <v>2104</v>
      </c>
      <c r="AB38" s="134"/>
      <c r="AC38" s="71"/>
    </row>
    <row r="39" spans="1:29" ht="12.75" customHeight="1">
      <c r="A39" s="5">
        <f>IF($T$14=A$2,1,"")</f>
      </c>
      <c r="B39" s="5">
        <f aca="true" t="shared" si="14" ref="B39:G39">IF($T$14=B$2,1,IF(A39&lt;&gt;"",A39+1,""))</f>
      </c>
      <c r="C39" s="5">
        <f t="shared" si="14"/>
      </c>
      <c r="D39" s="5">
        <f t="shared" si="14"/>
      </c>
      <c r="E39" s="5">
        <f t="shared" si="14"/>
      </c>
      <c r="F39" s="5">
        <f t="shared" si="14"/>
        <v>1</v>
      </c>
      <c r="G39" s="5">
        <f t="shared" si="14"/>
        <v>2</v>
      </c>
      <c r="H39" s="9"/>
      <c r="I39" s="5">
        <f>IF($T$21=I$2,1,"")</f>
      </c>
      <c r="J39" s="5">
        <f aca="true" t="shared" si="15" ref="J39:O39">IF($T$21=J$2,1,IF(I39&lt;&gt;"",I39+1,""))</f>
      </c>
      <c r="K39" s="5">
        <f t="shared" si="15"/>
      </c>
      <c r="L39" s="5">
        <f t="shared" si="15"/>
      </c>
      <c r="M39" s="5">
        <f t="shared" si="15"/>
      </c>
      <c r="N39" s="5">
        <f t="shared" si="15"/>
      </c>
      <c r="O39" s="5">
        <f t="shared" si="15"/>
        <v>1</v>
      </c>
      <c r="P39" s="3"/>
      <c r="Q39" s="3"/>
      <c r="R39" t="s">
        <v>207</v>
      </c>
      <c r="T39" s="23">
        <v>1</v>
      </c>
      <c r="U39" s="26">
        <v>7</v>
      </c>
      <c r="V39" s="29">
        <v>15</v>
      </c>
      <c r="W39" s="3"/>
      <c r="X39" s="143">
        <v>31</v>
      </c>
      <c r="Y39" s="144" t="s">
        <v>2104</v>
      </c>
      <c r="Z39" s="144" t="s">
        <v>2104</v>
      </c>
      <c r="AA39" s="144"/>
      <c r="AB39" s="144"/>
      <c r="AC39" s="145"/>
    </row>
    <row r="40" spans="1:29" ht="12.75" customHeight="1">
      <c r="A40" s="5">
        <f>IF(G39="","",IF(G39&lt;30,G39+1,""))</f>
        <v>3</v>
      </c>
      <c r="B40" s="5">
        <f aca="true" t="shared" si="16" ref="B40:G44">IF(A40="","",IF(A40&lt;30,A40+1,""))</f>
        <v>4</v>
      </c>
      <c r="C40" s="5">
        <f t="shared" si="16"/>
        <v>5</v>
      </c>
      <c r="D40" s="5">
        <f t="shared" si="16"/>
        <v>6</v>
      </c>
      <c r="E40" s="5">
        <f t="shared" si="16"/>
        <v>7</v>
      </c>
      <c r="F40" s="5">
        <f t="shared" si="16"/>
        <v>8</v>
      </c>
      <c r="G40" s="5">
        <f t="shared" si="16"/>
        <v>9</v>
      </c>
      <c r="H40" s="5"/>
      <c r="I40" s="5">
        <f>IF(O39="","",IF(O39&lt;31,O39+1,""))</f>
        <v>2</v>
      </c>
      <c r="J40" s="5">
        <f aca="true" t="shared" si="17" ref="J40:O44">IF(I40="","",IF(I40&lt;31,I40+1,""))</f>
        <v>3</v>
      </c>
      <c r="K40" s="5">
        <f t="shared" si="17"/>
        <v>4</v>
      </c>
      <c r="L40" s="5">
        <f t="shared" si="17"/>
        <v>5</v>
      </c>
      <c r="M40" s="5">
        <f t="shared" si="17"/>
        <v>6</v>
      </c>
      <c r="N40" s="5">
        <f t="shared" si="17"/>
        <v>7</v>
      </c>
      <c r="O40" s="5">
        <f t="shared" si="17"/>
        <v>8</v>
      </c>
      <c r="R40" t="s">
        <v>208</v>
      </c>
      <c r="T40" s="24">
        <v>1</v>
      </c>
      <c r="U40" s="27">
        <v>5</v>
      </c>
      <c r="V40" s="29">
        <v>13</v>
      </c>
      <c r="X40" s="148" t="s">
        <v>2113</v>
      </c>
      <c r="Y40" s="149"/>
      <c r="Z40" s="149"/>
      <c r="AA40" s="149"/>
      <c r="AB40" s="149"/>
      <c r="AC40" s="149"/>
    </row>
    <row r="41" spans="1:29" ht="12.75" customHeight="1">
      <c r="A41" s="5">
        <f>IF(G40="","",IF(G40&lt;30,G40+1,""))</f>
        <v>10</v>
      </c>
      <c r="B41" s="5">
        <f t="shared" si="16"/>
        <v>11</v>
      </c>
      <c r="C41" s="5">
        <f t="shared" si="16"/>
        <v>12</v>
      </c>
      <c r="D41" s="5">
        <f t="shared" si="16"/>
        <v>13</v>
      </c>
      <c r="E41" s="5">
        <f t="shared" si="16"/>
        <v>14</v>
      </c>
      <c r="F41" s="5">
        <f t="shared" si="16"/>
        <v>15</v>
      </c>
      <c r="G41" s="5">
        <f t="shared" si="16"/>
        <v>16</v>
      </c>
      <c r="H41" s="5"/>
      <c r="I41" s="5">
        <f>IF(O40="","",IF(O40&lt;31,O40+1,""))</f>
        <v>9</v>
      </c>
      <c r="J41" s="5">
        <f t="shared" si="17"/>
        <v>10</v>
      </c>
      <c r="K41" s="5">
        <f t="shared" si="17"/>
        <v>11</v>
      </c>
      <c r="L41" s="5">
        <f t="shared" si="17"/>
        <v>12</v>
      </c>
      <c r="M41" s="5">
        <f t="shared" si="17"/>
        <v>13</v>
      </c>
      <c r="N41" s="5">
        <f t="shared" si="17"/>
        <v>14</v>
      </c>
      <c r="O41" s="5">
        <f t="shared" si="17"/>
        <v>15</v>
      </c>
      <c r="R41" t="s">
        <v>209</v>
      </c>
      <c r="T41" s="24">
        <v>1</v>
      </c>
      <c r="U41" s="27">
        <v>5</v>
      </c>
      <c r="V41" s="29">
        <v>13</v>
      </c>
      <c r="X41" s="148" t="s">
        <v>2105</v>
      </c>
      <c r="Y41" s="150"/>
      <c r="Z41" s="150"/>
      <c r="AA41" s="150"/>
      <c r="AB41" s="150"/>
      <c r="AC41" s="149"/>
    </row>
    <row r="42" spans="1:29" ht="12.75" customHeight="1">
      <c r="A42" s="9">
        <f>IF(G41="","",IF(G41&lt;30,G41+1,""))</f>
        <v>17</v>
      </c>
      <c r="B42" s="5">
        <f t="shared" si="16"/>
        <v>18</v>
      </c>
      <c r="C42" s="5">
        <f t="shared" si="16"/>
        <v>19</v>
      </c>
      <c r="D42" s="5">
        <f t="shared" si="16"/>
        <v>20</v>
      </c>
      <c r="E42" s="5">
        <f t="shared" si="16"/>
        <v>21</v>
      </c>
      <c r="F42" s="5">
        <f t="shared" si="16"/>
        <v>22</v>
      </c>
      <c r="G42" s="5">
        <f t="shared" si="16"/>
        <v>23</v>
      </c>
      <c r="H42" s="5"/>
      <c r="I42" s="9">
        <f>IF(O41="","",IF(O41&lt;31,O41+1,""))</f>
        <v>16</v>
      </c>
      <c r="J42" s="5">
        <f t="shared" si="17"/>
        <v>17</v>
      </c>
      <c r="K42" s="5">
        <f t="shared" si="17"/>
        <v>18</v>
      </c>
      <c r="L42" s="5">
        <f t="shared" si="17"/>
        <v>19</v>
      </c>
      <c r="M42" s="5">
        <f t="shared" si="17"/>
        <v>20</v>
      </c>
      <c r="N42" s="5">
        <f t="shared" si="17"/>
        <v>21</v>
      </c>
      <c r="O42" s="5">
        <f t="shared" si="17"/>
        <v>22</v>
      </c>
      <c r="X42" s="146" t="s">
        <v>2086</v>
      </c>
      <c r="Z42" s="135"/>
      <c r="AA42" s="134" t="s">
        <v>2072</v>
      </c>
      <c r="AC42" s="135"/>
    </row>
    <row r="43" spans="1:29" ht="12.75" customHeight="1">
      <c r="A43" s="9">
        <f>IF(G42="","",IF(G42&lt;30,G42+1,""))</f>
        <v>24</v>
      </c>
      <c r="B43" s="5">
        <f t="shared" si="16"/>
        <v>25</v>
      </c>
      <c r="C43" s="5">
        <f t="shared" si="16"/>
        <v>26</v>
      </c>
      <c r="D43" s="5">
        <f t="shared" si="16"/>
        <v>27</v>
      </c>
      <c r="E43" s="5">
        <f t="shared" si="16"/>
        <v>28</v>
      </c>
      <c r="F43" s="5">
        <f t="shared" si="16"/>
        <v>29</v>
      </c>
      <c r="G43" s="5">
        <f t="shared" si="16"/>
        <v>30</v>
      </c>
      <c r="H43" s="5"/>
      <c r="I43" s="9">
        <f>IF(O42="","",IF(O42&lt;31,O42+1,""))</f>
        <v>23</v>
      </c>
      <c r="J43" s="5">
        <f t="shared" si="17"/>
        <v>24</v>
      </c>
      <c r="K43" s="5">
        <f t="shared" si="17"/>
        <v>25</v>
      </c>
      <c r="L43" s="5">
        <f t="shared" si="17"/>
        <v>26</v>
      </c>
      <c r="M43" s="5">
        <f t="shared" si="17"/>
        <v>27</v>
      </c>
      <c r="N43" s="5">
        <f t="shared" si="17"/>
        <v>28</v>
      </c>
      <c r="O43" s="5">
        <f t="shared" si="17"/>
        <v>29</v>
      </c>
      <c r="AB43" s="135"/>
      <c r="AC43" s="135"/>
    </row>
    <row r="44" spans="1:29" ht="12.75" customHeight="1">
      <c r="A44" s="9">
        <f>IF(G43="","",IF(G43&lt;30,G43+1,""))</f>
      </c>
      <c r="B44" s="5">
        <f t="shared" si="16"/>
      </c>
      <c r="C44" s="5">
        <f t="shared" si="16"/>
      </c>
      <c r="D44" s="5">
        <f t="shared" si="16"/>
      </c>
      <c r="E44" s="5">
        <f t="shared" si="16"/>
      </c>
      <c r="F44" s="5">
        <f t="shared" si="16"/>
      </c>
      <c r="G44" s="5">
        <f t="shared" si="16"/>
      </c>
      <c r="H44" s="5"/>
      <c r="I44" s="9">
        <f>IF(O43="","",IF(O43&lt;31,O43+1,""))</f>
        <v>30</v>
      </c>
      <c r="J44" s="5">
        <f t="shared" si="17"/>
        <v>31</v>
      </c>
      <c r="K44" s="5">
        <f t="shared" si="17"/>
      </c>
      <c r="L44" s="5">
        <f t="shared" si="17"/>
      </c>
      <c r="M44" s="5">
        <f t="shared" si="17"/>
      </c>
      <c r="N44" s="5">
        <f t="shared" si="17"/>
      </c>
      <c r="O44" s="5">
        <f t="shared" si="17"/>
      </c>
      <c r="X44" s="32"/>
      <c r="Y44" s="135"/>
      <c r="Z44" s="135"/>
      <c r="AA44" s="135"/>
      <c r="AB44" s="135"/>
      <c r="AC44" s="135"/>
    </row>
    <row r="45" spans="1:29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X45" s="32"/>
      <c r="Y45" s="135"/>
      <c r="Z45" s="135"/>
      <c r="AA45" s="135"/>
      <c r="AB45" s="135"/>
      <c r="AC45" s="135"/>
    </row>
    <row r="46" spans="1:29" ht="15" customHeight="1">
      <c r="A46" s="5"/>
      <c r="B46" s="5"/>
      <c r="C46" s="5"/>
      <c r="D46" s="151" t="str">
        <f>IF($S$6&lt;1,"Maius ","Maius "&amp;ROMAN($S$6,0)&amp;" a.u.c.")</f>
        <v>Maius MMDCCLXXVI a.u.c.</v>
      </c>
      <c r="E46" s="5"/>
      <c r="F46" s="5"/>
      <c r="G46" s="5"/>
      <c r="H46" s="5"/>
      <c r="I46" s="5"/>
      <c r="J46" s="5"/>
      <c r="K46" s="5"/>
      <c r="L46" s="151" t="str">
        <f>IF($S$6&lt;1,"November ","November "&amp;ROMAN($S$6,0)&amp;" a.u.c.")</f>
        <v>November MMDCCLXXVI a.u.c.</v>
      </c>
      <c r="M46" s="5"/>
      <c r="N46" s="5"/>
      <c r="O46" s="5"/>
      <c r="X46" s="2" t="s">
        <v>2074</v>
      </c>
      <c r="Y46" s="135"/>
      <c r="Z46" s="135"/>
      <c r="AA46" s="135"/>
      <c r="AB46" s="135"/>
      <c r="AC46" s="135"/>
    </row>
    <row r="47" spans="1:29" ht="12.75" customHeight="1">
      <c r="A47" s="20" t="s">
        <v>2118</v>
      </c>
      <c r="B47" s="20" t="s">
        <v>2119</v>
      </c>
      <c r="C47" s="20" t="s">
        <v>2120</v>
      </c>
      <c r="D47" s="20" t="s">
        <v>2121</v>
      </c>
      <c r="E47" s="20" t="s">
        <v>2122</v>
      </c>
      <c r="F47" s="20" t="s">
        <v>2123</v>
      </c>
      <c r="G47" s="20" t="s">
        <v>2124</v>
      </c>
      <c r="H47" s="12"/>
      <c r="I47" s="20" t="s">
        <v>2118</v>
      </c>
      <c r="J47" s="20" t="s">
        <v>2119</v>
      </c>
      <c r="K47" s="20" t="s">
        <v>2120</v>
      </c>
      <c r="L47" s="20" t="s">
        <v>2121</v>
      </c>
      <c r="M47" s="20" t="s">
        <v>2122</v>
      </c>
      <c r="N47" s="20" t="s">
        <v>2123</v>
      </c>
      <c r="O47" s="20" t="s">
        <v>2124</v>
      </c>
      <c r="P47" s="7"/>
      <c r="Q47" s="7"/>
      <c r="R47" s="7"/>
      <c r="S47" s="7"/>
      <c r="T47" s="7"/>
      <c r="U47" s="7"/>
      <c r="V47" s="7"/>
      <c r="W47" s="7"/>
      <c r="X47" s="2"/>
      <c r="Y47" s="135"/>
      <c r="Z47" s="135"/>
      <c r="AA47" s="135"/>
      <c r="AB47" s="135"/>
      <c r="AC47" s="135"/>
    </row>
    <row r="48" spans="1:29" ht="12.75" customHeight="1">
      <c r="A48" s="20" t="s">
        <v>2117</v>
      </c>
      <c r="B48" s="20" t="s">
        <v>2117</v>
      </c>
      <c r="C48" s="20" t="s">
        <v>2117</v>
      </c>
      <c r="D48" s="20" t="s">
        <v>2117</v>
      </c>
      <c r="E48" s="20" t="s">
        <v>2117</v>
      </c>
      <c r="F48" s="20" t="s">
        <v>2117</v>
      </c>
      <c r="G48" s="20" t="s">
        <v>2117</v>
      </c>
      <c r="H48" s="12"/>
      <c r="I48" s="20" t="s">
        <v>2117</v>
      </c>
      <c r="J48" s="20" t="s">
        <v>2117</v>
      </c>
      <c r="K48" s="20" t="s">
        <v>2117</v>
      </c>
      <c r="L48" s="20" t="s">
        <v>2117</v>
      </c>
      <c r="M48" s="20" t="s">
        <v>2117</v>
      </c>
      <c r="N48" s="20" t="s">
        <v>2117</v>
      </c>
      <c r="O48" s="20" t="s">
        <v>2117</v>
      </c>
      <c r="P48" s="7"/>
      <c r="Q48" s="7"/>
      <c r="R48" s="7"/>
      <c r="S48" s="7"/>
      <c r="T48" s="7"/>
      <c r="U48" s="7"/>
      <c r="V48" s="7"/>
      <c r="W48" s="7"/>
      <c r="X48" s="32" t="s">
        <v>2114</v>
      </c>
      <c r="Y48" s="135"/>
      <c r="Z48" s="135"/>
      <c r="AA48" s="135"/>
      <c r="AB48" s="135"/>
      <c r="AC48" s="135"/>
    </row>
    <row r="49" spans="1:29" ht="12.75" customHeight="1">
      <c r="A49" s="5">
        <f>IF($T$15=A$2,1,"")</f>
        <v>1</v>
      </c>
      <c r="B49" s="5">
        <f aca="true" t="shared" si="18" ref="B49:G49">IF($T$15=B$2,1,IF(A49&lt;&gt;"",A49+1,""))</f>
        <v>2</v>
      </c>
      <c r="C49" s="5">
        <f t="shared" si="18"/>
        <v>3</v>
      </c>
      <c r="D49" s="5">
        <f t="shared" si="18"/>
        <v>4</v>
      </c>
      <c r="E49" s="5">
        <f t="shared" si="18"/>
        <v>5</v>
      </c>
      <c r="F49" s="5">
        <f t="shared" si="18"/>
        <v>6</v>
      </c>
      <c r="G49" s="5">
        <f t="shared" si="18"/>
        <v>7</v>
      </c>
      <c r="H49" s="9"/>
      <c r="I49" s="5">
        <f>IF($T$22=I$2,1,"")</f>
      </c>
      <c r="J49" s="5">
        <f aca="true" t="shared" si="19" ref="J49:O49">IF($T$22=J$2,1,IF(I49&lt;&gt;"",I49+1,""))</f>
      </c>
      <c r="K49" s="5">
        <f t="shared" si="19"/>
        <v>1</v>
      </c>
      <c r="L49" s="5">
        <f t="shared" si="19"/>
        <v>2</v>
      </c>
      <c r="M49" s="5">
        <f t="shared" si="19"/>
        <v>3</v>
      </c>
      <c r="N49" s="5">
        <f t="shared" si="19"/>
        <v>4</v>
      </c>
      <c r="O49" s="5">
        <f t="shared" si="19"/>
        <v>5</v>
      </c>
      <c r="P49" s="3"/>
      <c r="Q49" s="3"/>
      <c r="R49" s="3"/>
      <c r="S49" s="3"/>
      <c r="T49" s="3"/>
      <c r="U49" s="3"/>
      <c r="V49" s="3"/>
      <c r="W49" s="3"/>
      <c r="X49" s="32" t="s">
        <v>2115</v>
      </c>
      <c r="Y49" s="135"/>
      <c r="Z49" s="135"/>
      <c r="AA49" s="135"/>
      <c r="AB49" s="135"/>
      <c r="AC49" s="135"/>
    </row>
    <row r="50" spans="1:29" ht="12.75" customHeight="1">
      <c r="A50" s="5">
        <f>IF(G49="","",IF(G49&lt;31,G49+1,""))</f>
        <v>8</v>
      </c>
      <c r="B50" s="5">
        <f aca="true" t="shared" si="20" ref="B50:G54">IF(A50="","",IF(A50&lt;31,A50+1,""))</f>
        <v>9</v>
      </c>
      <c r="C50" s="5">
        <f t="shared" si="20"/>
        <v>10</v>
      </c>
      <c r="D50" s="5">
        <f t="shared" si="20"/>
        <v>11</v>
      </c>
      <c r="E50" s="5">
        <f t="shared" si="20"/>
        <v>12</v>
      </c>
      <c r="F50" s="5">
        <f t="shared" si="20"/>
        <v>13</v>
      </c>
      <c r="G50" s="5">
        <f t="shared" si="20"/>
        <v>14</v>
      </c>
      <c r="H50" s="5"/>
      <c r="I50" s="5">
        <f>IF(O49="","",IF(O49&lt;30,O49+1,""))</f>
        <v>6</v>
      </c>
      <c r="J50" s="5">
        <f aca="true" t="shared" si="21" ref="J50:O54">IF(I50="","",IF(I50&lt;30,I50+1,""))</f>
        <v>7</v>
      </c>
      <c r="K50" s="5">
        <f t="shared" si="21"/>
        <v>8</v>
      </c>
      <c r="L50" s="5">
        <f t="shared" si="21"/>
        <v>9</v>
      </c>
      <c r="M50" s="5">
        <f t="shared" si="21"/>
        <v>10</v>
      </c>
      <c r="N50" s="5">
        <f t="shared" si="21"/>
        <v>11</v>
      </c>
      <c r="O50" s="5">
        <f t="shared" si="21"/>
        <v>12</v>
      </c>
      <c r="X50" s="32"/>
      <c r="Y50" s="135"/>
      <c r="Z50" s="135"/>
      <c r="AA50" s="135"/>
      <c r="AB50" s="135"/>
      <c r="AC50" s="135"/>
    </row>
    <row r="51" spans="1:29" ht="12.75" customHeight="1">
      <c r="A51" s="5">
        <f>IF(G50="","",IF(G50&lt;31,G50+1,""))</f>
        <v>15</v>
      </c>
      <c r="B51" s="5">
        <f t="shared" si="20"/>
        <v>16</v>
      </c>
      <c r="C51" s="5">
        <f t="shared" si="20"/>
        <v>17</v>
      </c>
      <c r="D51" s="5">
        <f t="shared" si="20"/>
        <v>18</v>
      </c>
      <c r="E51" s="5">
        <f t="shared" si="20"/>
        <v>19</v>
      </c>
      <c r="F51" s="5">
        <f t="shared" si="20"/>
        <v>20</v>
      </c>
      <c r="G51" s="5">
        <f t="shared" si="20"/>
        <v>21</v>
      </c>
      <c r="H51" s="5"/>
      <c r="I51" s="5">
        <f>IF(O50="","",IF(O50&lt;30,O50+1,""))</f>
        <v>13</v>
      </c>
      <c r="J51" s="5">
        <f t="shared" si="21"/>
        <v>14</v>
      </c>
      <c r="K51" s="5">
        <f t="shared" si="21"/>
        <v>15</v>
      </c>
      <c r="L51" s="5">
        <f t="shared" si="21"/>
        <v>16</v>
      </c>
      <c r="M51" s="5">
        <f t="shared" si="21"/>
        <v>17</v>
      </c>
      <c r="N51" s="5">
        <f t="shared" si="21"/>
        <v>18</v>
      </c>
      <c r="O51" s="5">
        <f t="shared" si="21"/>
        <v>19</v>
      </c>
      <c r="X51" s="32"/>
      <c r="Y51" s="135"/>
      <c r="Z51" s="135"/>
      <c r="AA51" s="135"/>
      <c r="AB51" s="135"/>
      <c r="AC51" s="135"/>
    </row>
    <row r="52" spans="1:28" ht="12.75" customHeight="1">
      <c r="A52" s="9">
        <f>IF(G51="","",IF(G51&lt;31,G51+1,""))</f>
        <v>22</v>
      </c>
      <c r="B52" s="5">
        <f t="shared" si="20"/>
        <v>23</v>
      </c>
      <c r="C52" s="5">
        <f t="shared" si="20"/>
        <v>24</v>
      </c>
      <c r="D52" s="5">
        <f t="shared" si="20"/>
        <v>25</v>
      </c>
      <c r="E52" s="5">
        <f t="shared" si="20"/>
        <v>26</v>
      </c>
      <c r="F52" s="5">
        <f t="shared" si="20"/>
        <v>27</v>
      </c>
      <c r="G52" s="5">
        <f t="shared" si="20"/>
        <v>28</v>
      </c>
      <c r="H52" s="5"/>
      <c r="I52" s="9">
        <f>IF(O51="","",IF(O51&lt;30,O51+1,""))</f>
        <v>20</v>
      </c>
      <c r="J52" s="5">
        <f t="shared" si="21"/>
        <v>21</v>
      </c>
      <c r="K52" s="5">
        <f t="shared" si="21"/>
        <v>22</v>
      </c>
      <c r="L52" s="5">
        <f t="shared" si="21"/>
        <v>23</v>
      </c>
      <c r="M52" s="5">
        <f t="shared" si="21"/>
        <v>24</v>
      </c>
      <c r="N52" s="5">
        <f t="shared" si="21"/>
        <v>25</v>
      </c>
      <c r="O52" s="5">
        <f t="shared" si="21"/>
        <v>26</v>
      </c>
      <c r="X52" s="139" t="s">
        <v>2110</v>
      </c>
      <c r="Y52" s="140"/>
      <c r="Z52" s="140" t="s">
        <v>2111</v>
      </c>
      <c r="AA52" s="140"/>
      <c r="AB52" s="135"/>
    </row>
    <row r="53" spans="1:28" ht="12.75" customHeight="1">
      <c r="A53" s="9">
        <f>IF(G52="","",IF(G52&lt;31,G52+1,""))</f>
        <v>29</v>
      </c>
      <c r="B53" s="5">
        <f t="shared" si="20"/>
        <v>30</v>
      </c>
      <c r="C53" s="5">
        <f t="shared" si="20"/>
        <v>31</v>
      </c>
      <c r="D53" s="5">
        <f t="shared" si="20"/>
      </c>
      <c r="E53" s="5">
        <f t="shared" si="20"/>
      </c>
      <c r="F53" s="5">
        <f t="shared" si="20"/>
      </c>
      <c r="G53" s="5">
        <f t="shared" si="20"/>
      </c>
      <c r="H53" s="5"/>
      <c r="I53" s="9">
        <f>IF(O52="","",IF(O52&lt;30,O52+1,""))</f>
        <v>27</v>
      </c>
      <c r="J53" s="5">
        <f t="shared" si="21"/>
        <v>28</v>
      </c>
      <c r="K53" s="5">
        <f t="shared" si="21"/>
        <v>29</v>
      </c>
      <c r="L53" s="5">
        <f t="shared" si="21"/>
        <v>30</v>
      </c>
      <c r="M53" s="5">
        <f t="shared" si="21"/>
      </c>
      <c r="N53" s="5">
        <f t="shared" si="21"/>
      </c>
      <c r="O53" s="5">
        <f t="shared" si="21"/>
      </c>
      <c r="X53" s="32" t="s">
        <v>2075</v>
      </c>
      <c r="Y53" s="135"/>
      <c r="Z53" s="135" t="s">
        <v>2108</v>
      </c>
      <c r="AA53" s="135"/>
      <c r="AB53" s="135"/>
    </row>
    <row r="54" spans="1:24" ht="12.75" customHeight="1">
      <c r="A54" s="9">
        <f>IF(G53="","",IF(G53&lt;31,G53+1,""))</f>
      </c>
      <c r="B54" s="5">
        <f t="shared" si="20"/>
      </c>
      <c r="C54" s="5">
        <f t="shared" si="20"/>
      </c>
      <c r="D54" s="5">
        <f t="shared" si="20"/>
      </c>
      <c r="E54" s="5">
        <f t="shared" si="20"/>
      </c>
      <c r="F54" s="5">
        <f t="shared" si="20"/>
      </c>
      <c r="G54" s="5">
        <f t="shared" si="20"/>
      </c>
      <c r="H54" s="5"/>
      <c r="I54" s="9">
        <f>IF(O53="","",IF(O53&lt;30,O53+1,""))</f>
      </c>
      <c r="J54" s="5">
        <f t="shared" si="21"/>
      </c>
      <c r="K54" s="5">
        <f t="shared" si="21"/>
      </c>
      <c r="L54" s="5">
        <f t="shared" si="21"/>
      </c>
      <c r="M54" s="5">
        <f t="shared" si="21"/>
      </c>
      <c r="N54" s="5">
        <f t="shared" si="21"/>
      </c>
      <c r="O54" s="5">
        <f t="shared" si="21"/>
      </c>
      <c r="X54" s="32" t="s">
        <v>2076</v>
      </c>
    </row>
    <row r="55" spans="1:24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X55" s="32" t="s">
        <v>2077</v>
      </c>
    </row>
    <row r="56" spans="1:24" ht="15" customHeight="1">
      <c r="A56" s="5"/>
      <c r="B56" s="5"/>
      <c r="C56" s="5"/>
      <c r="D56" s="151" t="str">
        <f>IF($S$6&lt;1,"Iunius ","Iunius "&amp;ROMAN($S$6,0)&amp;" a.u.c.")</f>
        <v>Iunius MMDCCLXXVI a.u.c.</v>
      </c>
      <c r="E56" s="5"/>
      <c r="F56" s="5"/>
      <c r="G56" s="5"/>
      <c r="H56" s="5"/>
      <c r="I56" s="5"/>
      <c r="J56" s="5"/>
      <c r="K56" s="5"/>
      <c r="L56" s="151" t="str">
        <f>IF($S$6&lt;1,"December ","December "&amp;ROMAN($S$6,0)&amp;" a.u.c.")</f>
        <v>December MMDCCLXXVI a.u.c.</v>
      </c>
      <c r="M56" s="5"/>
      <c r="N56" s="5"/>
      <c r="O56" s="5"/>
      <c r="X56" s="32" t="s">
        <v>2078</v>
      </c>
    </row>
    <row r="57" spans="1:26" ht="12.75" customHeight="1">
      <c r="A57" s="20" t="s">
        <v>2118</v>
      </c>
      <c r="B57" s="20" t="s">
        <v>2119</v>
      </c>
      <c r="C57" s="20" t="s">
        <v>2120</v>
      </c>
      <c r="D57" s="20" t="s">
        <v>2121</v>
      </c>
      <c r="E57" s="20" t="s">
        <v>2122</v>
      </c>
      <c r="F57" s="20" t="s">
        <v>2123</v>
      </c>
      <c r="G57" s="20" t="s">
        <v>2124</v>
      </c>
      <c r="H57" s="12"/>
      <c r="I57" s="20" t="s">
        <v>2118</v>
      </c>
      <c r="J57" s="20" t="s">
        <v>2119</v>
      </c>
      <c r="K57" s="20" t="s">
        <v>2120</v>
      </c>
      <c r="L57" s="20" t="s">
        <v>2121</v>
      </c>
      <c r="M57" s="20" t="s">
        <v>2122</v>
      </c>
      <c r="N57" s="20" t="s">
        <v>2123</v>
      </c>
      <c r="O57" s="20" t="s">
        <v>2124</v>
      </c>
      <c r="P57" s="7"/>
      <c r="Q57" s="7"/>
      <c r="R57" s="7"/>
      <c r="S57" s="7"/>
      <c r="T57" s="7"/>
      <c r="U57" s="7"/>
      <c r="V57" s="7"/>
      <c r="W57" s="7"/>
      <c r="X57" s="32" t="s">
        <v>2079</v>
      </c>
      <c r="Z57" s="135" t="s">
        <v>2085</v>
      </c>
    </row>
    <row r="58" spans="1:24" ht="12.75" customHeight="1">
      <c r="A58" s="20" t="s">
        <v>2117</v>
      </c>
      <c r="B58" s="20" t="s">
        <v>2117</v>
      </c>
      <c r="C58" s="20" t="s">
        <v>2117</v>
      </c>
      <c r="D58" s="20" t="s">
        <v>2117</v>
      </c>
      <c r="E58" s="20" t="s">
        <v>2117</v>
      </c>
      <c r="F58" s="20" t="s">
        <v>2117</v>
      </c>
      <c r="G58" s="20" t="s">
        <v>2117</v>
      </c>
      <c r="H58" s="12"/>
      <c r="I58" s="20" t="s">
        <v>2117</v>
      </c>
      <c r="J58" s="20" t="s">
        <v>2117</v>
      </c>
      <c r="K58" s="20" t="s">
        <v>2117</v>
      </c>
      <c r="L58" s="20" t="s">
        <v>2117</v>
      </c>
      <c r="M58" s="20" t="s">
        <v>2117</v>
      </c>
      <c r="N58" s="20" t="s">
        <v>2117</v>
      </c>
      <c r="O58" s="20" t="s">
        <v>2117</v>
      </c>
      <c r="P58" s="7"/>
      <c r="Q58" s="7"/>
      <c r="R58" s="7"/>
      <c r="S58" s="7"/>
      <c r="T58" s="7"/>
      <c r="U58" s="7"/>
      <c r="V58" s="7"/>
      <c r="W58" s="7"/>
      <c r="X58" s="32" t="s">
        <v>2078</v>
      </c>
    </row>
    <row r="59" spans="1:26" ht="12.75" customHeight="1">
      <c r="A59" s="5">
        <f>IF($T$16=A$2,1,"")</f>
      </c>
      <c r="B59" s="5">
        <f aca="true" t="shared" si="22" ref="B59:G59">IF($T$16=B$2,1,IF(A59&lt;&gt;"",A59+1,""))</f>
      </c>
      <c r="C59" s="5">
        <f t="shared" si="22"/>
      </c>
      <c r="D59" s="5">
        <f t="shared" si="22"/>
        <v>1</v>
      </c>
      <c r="E59" s="5">
        <f t="shared" si="22"/>
        <v>2</v>
      </c>
      <c r="F59" s="5">
        <f t="shared" si="22"/>
        <v>3</v>
      </c>
      <c r="G59" s="5">
        <f t="shared" si="22"/>
        <v>4</v>
      </c>
      <c r="H59" s="9"/>
      <c r="I59" s="5">
        <f>IF($T$23=I$2,1,"")</f>
      </c>
      <c r="J59" s="5">
        <f aca="true" t="shared" si="23" ref="J59:O59">IF($T$23=J$2,1,IF(I59&lt;&gt;"",I59+1,""))</f>
      </c>
      <c r="K59" s="5">
        <f t="shared" si="23"/>
      </c>
      <c r="L59" s="5">
        <f t="shared" si="23"/>
      </c>
      <c r="M59" s="5">
        <f t="shared" si="23"/>
        <v>1</v>
      </c>
      <c r="N59" s="5">
        <f t="shared" si="23"/>
        <v>2</v>
      </c>
      <c r="O59" s="5">
        <f t="shared" si="23"/>
        <v>3</v>
      </c>
      <c r="P59" s="3"/>
      <c r="Q59" s="3"/>
      <c r="R59" s="3"/>
      <c r="S59" s="3"/>
      <c r="T59" s="3"/>
      <c r="U59" s="3"/>
      <c r="V59" s="3"/>
      <c r="W59" s="3"/>
      <c r="X59" s="32" t="s">
        <v>2080</v>
      </c>
      <c r="Z59" s="135" t="s">
        <v>2109</v>
      </c>
    </row>
    <row r="60" spans="1:26" ht="12.75" customHeight="1">
      <c r="A60" s="5">
        <f>IF(G59="","",IF(G59&lt;30,G59+1,""))</f>
        <v>5</v>
      </c>
      <c r="B60" s="5">
        <f aca="true" t="shared" si="24" ref="B60:G64">IF(A60="","",IF(A60&lt;30,A60+1,""))</f>
        <v>6</v>
      </c>
      <c r="C60" s="5">
        <f t="shared" si="24"/>
        <v>7</v>
      </c>
      <c r="D60" s="5">
        <f t="shared" si="24"/>
        <v>8</v>
      </c>
      <c r="E60" s="5">
        <f t="shared" si="24"/>
        <v>9</v>
      </c>
      <c r="F60" s="5">
        <f t="shared" si="24"/>
        <v>10</v>
      </c>
      <c r="G60" s="5">
        <f t="shared" si="24"/>
        <v>11</v>
      </c>
      <c r="H60" s="5"/>
      <c r="I60" s="5">
        <f>IF(O59="","",IF(O59&lt;31,O59+1,""))</f>
        <v>4</v>
      </c>
      <c r="J60" s="5">
        <f aca="true" t="shared" si="25" ref="J60:O64">IF(I60="","",IF(I60&lt;31,I60+1,""))</f>
        <v>5</v>
      </c>
      <c r="K60" s="5">
        <f t="shared" si="25"/>
        <v>6</v>
      </c>
      <c r="L60" s="5">
        <f t="shared" si="25"/>
        <v>7</v>
      </c>
      <c r="M60" s="5">
        <f t="shared" si="25"/>
        <v>8</v>
      </c>
      <c r="N60" s="5">
        <f t="shared" si="25"/>
        <v>9</v>
      </c>
      <c r="O60" s="5">
        <f t="shared" si="25"/>
        <v>10</v>
      </c>
      <c r="X60" s="32" t="s">
        <v>2081</v>
      </c>
      <c r="Z60" s="135" t="s">
        <v>2106</v>
      </c>
    </row>
    <row r="61" spans="1:24" ht="12.75" customHeight="1">
      <c r="A61" s="5">
        <f>IF(G60="","",IF(G60&lt;30,G60+1,""))</f>
        <v>12</v>
      </c>
      <c r="B61" s="5">
        <f t="shared" si="24"/>
        <v>13</v>
      </c>
      <c r="C61" s="5">
        <f t="shared" si="24"/>
        <v>14</v>
      </c>
      <c r="D61" s="5">
        <f t="shared" si="24"/>
        <v>15</v>
      </c>
      <c r="E61" s="5">
        <f t="shared" si="24"/>
        <v>16</v>
      </c>
      <c r="F61" s="5">
        <f t="shared" si="24"/>
        <v>17</v>
      </c>
      <c r="G61" s="5">
        <f t="shared" si="24"/>
        <v>18</v>
      </c>
      <c r="H61" s="5"/>
      <c r="I61" s="5">
        <f>IF(O60="","",IF(O60&lt;31,O60+1,""))</f>
        <v>11</v>
      </c>
      <c r="J61" s="5">
        <f t="shared" si="25"/>
        <v>12</v>
      </c>
      <c r="K61" s="5">
        <f t="shared" si="25"/>
        <v>13</v>
      </c>
      <c r="L61" s="5">
        <f t="shared" si="25"/>
        <v>14</v>
      </c>
      <c r="M61" s="5">
        <f t="shared" si="25"/>
        <v>15</v>
      </c>
      <c r="N61" s="5">
        <f t="shared" si="25"/>
        <v>16</v>
      </c>
      <c r="O61" s="5">
        <f t="shared" si="25"/>
        <v>17</v>
      </c>
      <c r="X61" s="32" t="s">
        <v>2082</v>
      </c>
    </row>
    <row r="62" spans="1:24" ht="12.75" customHeight="1">
      <c r="A62" s="9">
        <f>IF(G61="","",IF(G61&lt;30,G61+1,""))</f>
        <v>19</v>
      </c>
      <c r="B62" s="9">
        <f t="shared" si="24"/>
        <v>20</v>
      </c>
      <c r="C62" s="9">
        <f t="shared" si="24"/>
        <v>21</v>
      </c>
      <c r="D62" s="9">
        <f t="shared" si="24"/>
        <v>22</v>
      </c>
      <c r="E62" s="9">
        <f t="shared" si="24"/>
        <v>23</v>
      </c>
      <c r="F62" s="9">
        <f t="shared" si="24"/>
        <v>24</v>
      </c>
      <c r="G62" s="9">
        <f t="shared" si="24"/>
        <v>25</v>
      </c>
      <c r="H62" s="5"/>
      <c r="I62" s="9">
        <f>IF(O61="","",IF(O61&lt;31,O61+1,""))</f>
        <v>18</v>
      </c>
      <c r="J62" s="5">
        <f t="shared" si="25"/>
        <v>19</v>
      </c>
      <c r="K62" s="5">
        <f t="shared" si="25"/>
        <v>20</v>
      </c>
      <c r="L62" s="5">
        <f t="shared" si="25"/>
        <v>21</v>
      </c>
      <c r="M62" s="5">
        <f t="shared" si="25"/>
        <v>22</v>
      </c>
      <c r="N62" s="5">
        <f t="shared" si="25"/>
        <v>23</v>
      </c>
      <c r="O62" s="5">
        <f t="shared" si="25"/>
        <v>24</v>
      </c>
      <c r="X62" s="32" t="s">
        <v>2083</v>
      </c>
    </row>
    <row r="63" spans="1:27" ht="12.75" customHeight="1">
      <c r="A63" s="9">
        <f>IF(G62="","",IF(G62&lt;30,G62+1,""))</f>
        <v>26</v>
      </c>
      <c r="B63" s="9">
        <f t="shared" si="24"/>
        <v>27</v>
      </c>
      <c r="C63" s="9">
        <f t="shared" si="24"/>
        <v>28</v>
      </c>
      <c r="D63" s="9">
        <f t="shared" si="24"/>
        <v>29</v>
      </c>
      <c r="E63" s="9">
        <f t="shared" si="24"/>
        <v>30</v>
      </c>
      <c r="F63" s="9">
        <f t="shared" si="24"/>
      </c>
      <c r="G63" s="9">
        <f t="shared" si="24"/>
      </c>
      <c r="H63" s="5"/>
      <c r="I63" s="9">
        <f>IF(O62="","",IF(O62&lt;31,O62+1,""))</f>
        <v>25</v>
      </c>
      <c r="J63" s="5">
        <f t="shared" si="25"/>
        <v>26</v>
      </c>
      <c r="K63" s="5">
        <f t="shared" si="25"/>
        <v>27</v>
      </c>
      <c r="L63" s="5">
        <f t="shared" si="25"/>
        <v>28</v>
      </c>
      <c r="M63" s="5">
        <f t="shared" si="25"/>
        <v>29</v>
      </c>
      <c r="N63" s="5">
        <f t="shared" si="25"/>
        <v>30</v>
      </c>
      <c r="O63" s="5">
        <f t="shared" si="25"/>
        <v>31</v>
      </c>
      <c r="X63" s="139" t="s">
        <v>2084</v>
      </c>
      <c r="Y63" s="138"/>
      <c r="Z63" s="140" t="s">
        <v>2107</v>
      </c>
      <c r="AA63" s="138"/>
    </row>
    <row r="64" spans="1:15" ht="12.75">
      <c r="A64" s="9">
        <f>IF(G63="","",IF(G63&lt;30,G63+1,""))</f>
      </c>
      <c r="B64" s="5">
        <f t="shared" si="24"/>
      </c>
      <c r="C64" s="5">
        <f t="shared" si="24"/>
      </c>
      <c r="D64" s="5">
        <f t="shared" si="24"/>
      </c>
      <c r="E64" s="5">
        <f t="shared" si="24"/>
      </c>
      <c r="F64" s="5">
        <f t="shared" si="24"/>
      </c>
      <c r="G64" s="5">
        <f t="shared" si="24"/>
      </c>
      <c r="H64" s="5"/>
      <c r="I64" s="9">
        <f>IF(O63="","",IF(O63&lt;31,O63+1,""))</f>
      </c>
      <c r="J64" s="5">
        <f t="shared" si="25"/>
      </c>
      <c r="K64" s="5">
        <f t="shared" si="25"/>
      </c>
      <c r="L64" s="5">
        <f t="shared" si="25"/>
      </c>
      <c r="M64" s="5">
        <f t="shared" si="25"/>
      </c>
      <c r="N64" s="5">
        <f t="shared" si="25"/>
      </c>
      <c r="O64" s="5">
        <f t="shared" si="25"/>
      </c>
    </row>
    <row r="66" spans="1:9" ht="14.25">
      <c r="A66" s="32" t="s">
        <v>1767</v>
      </c>
      <c r="B66" s="9"/>
      <c r="C66" s="3"/>
      <c r="I66" s="18"/>
    </row>
    <row r="67" spans="1:9" ht="14.25">
      <c r="A67" t="s">
        <v>230</v>
      </c>
      <c r="I67" s="19"/>
    </row>
    <row r="68" ht="12.75">
      <c r="A68" t="s">
        <v>229</v>
      </c>
    </row>
    <row r="69" ht="12.75">
      <c r="A69" t="s">
        <v>223</v>
      </c>
    </row>
    <row r="70" ht="12.75">
      <c r="A70" t="s">
        <v>222</v>
      </c>
    </row>
    <row r="71" ht="12.75">
      <c r="A71" t="s">
        <v>233</v>
      </c>
    </row>
    <row r="72" ht="12.75">
      <c r="A72" s="21" t="s">
        <v>224</v>
      </c>
    </row>
    <row r="73" ht="12.75">
      <c r="A73" t="s">
        <v>221</v>
      </c>
    </row>
    <row r="74" ht="12.75">
      <c r="A74" s="32" t="s">
        <v>1768</v>
      </c>
    </row>
    <row r="75" ht="12.75">
      <c r="A75" t="s">
        <v>225</v>
      </c>
    </row>
    <row r="76" ht="12.75">
      <c r="A76" t="s">
        <v>231</v>
      </c>
    </row>
    <row r="77" ht="12.75">
      <c r="A77" t="s">
        <v>1022</v>
      </c>
    </row>
    <row r="78" ht="12.75">
      <c r="A78" t="s">
        <v>232</v>
      </c>
    </row>
  </sheetData>
  <sheetProtection sheet="1"/>
  <conditionalFormatting sqref="G14:M14">
    <cfRule type="cellIs" priority="1" dxfId="2" operator="equal" stopIfTrue="1">
      <formula>1</formula>
    </cfRule>
  </conditionalFormatting>
  <conditionalFormatting sqref="A59:G59 A39:G39 A19:G19 I29:O29 I59:O59 A9:G9 I49:O49 I19:O19">
    <cfRule type="cellIs" priority="2" dxfId="2" operator="equal" stopIfTrue="1">
      <formula>1</formula>
    </cfRule>
    <cfRule type="cellIs" priority="3" dxfId="38" operator="equal" stopIfTrue="1">
      <formula>5</formula>
    </cfRule>
  </conditionalFormatting>
  <conditionalFormatting sqref="G10:G11 A10:F12 A20:G21 A40:G41 A60:G61 I60:O61 I50:O51 I30:O31 I20:O21">
    <cfRule type="cellIs" priority="4" dxfId="2" operator="equal" stopIfTrue="1">
      <formula>1</formula>
    </cfRule>
    <cfRule type="cellIs" priority="5" dxfId="38" operator="equal" stopIfTrue="1">
      <formula>5</formula>
    </cfRule>
    <cfRule type="cellIs" priority="6" dxfId="37" operator="equal" stopIfTrue="1">
      <formula>13</formula>
    </cfRule>
  </conditionalFormatting>
  <conditionalFormatting sqref="A29:G31 A49:G51 I39:O41 I9:O11">
    <cfRule type="cellIs" priority="7" dxfId="2" operator="equal" stopIfTrue="1">
      <formula>1</formula>
    </cfRule>
    <cfRule type="cellIs" priority="8" dxfId="38" operator="equal" stopIfTrue="1">
      <formula>7</formula>
    </cfRule>
    <cfRule type="cellIs" priority="9" dxfId="37" operator="equal" stopIfTrue="1">
      <formula>15</formula>
    </cfRule>
  </conditionalFormatting>
  <printOptions/>
  <pageMargins left="0.7874015748031497" right="0.7874015748031497" top="1.1811023622047245" bottom="0.7874015748031497" header="0" footer="0"/>
  <pageSetup fitToHeight="1" fitToWidth="1" horizontalDpi="120" verticalDpi="12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18" width="7.7109375" style="0" customWidth="1"/>
  </cols>
  <sheetData>
    <row r="1" spans="1:5" ht="15">
      <c r="A1" s="176" t="s">
        <v>106</v>
      </c>
      <c r="B1" t="s">
        <v>107</v>
      </c>
      <c r="E1" s="176"/>
    </row>
    <row r="2" spans="15:16" ht="12.75">
      <c r="O2" s="262" t="s">
        <v>114</v>
      </c>
      <c r="P2" s="262"/>
    </row>
    <row r="3" spans="2:18" ht="12.75">
      <c r="B3" t="s">
        <v>1600</v>
      </c>
      <c r="C3" s="262" t="s">
        <v>110</v>
      </c>
      <c r="D3" s="262"/>
      <c r="E3" s="262"/>
      <c r="F3" s="262" t="s">
        <v>111</v>
      </c>
      <c r="G3" s="262"/>
      <c r="H3" s="262"/>
      <c r="I3" s="262" t="s">
        <v>112</v>
      </c>
      <c r="J3" s="262"/>
      <c r="K3" s="262"/>
      <c r="L3" s="262" t="s">
        <v>113</v>
      </c>
      <c r="M3" s="262"/>
      <c r="N3" s="262"/>
      <c r="O3" s="272" t="s">
        <v>118</v>
      </c>
      <c r="P3" s="272"/>
      <c r="Q3" s="272" t="s">
        <v>119</v>
      </c>
      <c r="R3" s="272"/>
    </row>
    <row r="4" spans="1:18" ht="12.75">
      <c r="A4" t="s">
        <v>108</v>
      </c>
      <c r="B4" s="5" t="s">
        <v>109</v>
      </c>
      <c r="C4" s="177" t="s">
        <v>115</v>
      </c>
      <c r="D4" s="177" t="s">
        <v>116</v>
      </c>
      <c r="E4" s="177" t="s">
        <v>117</v>
      </c>
      <c r="F4" s="177" t="s">
        <v>115</v>
      </c>
      <c r="G4" s="177" t="s">
        <v>116</v>
      </c>
      <c r="H4" s="177" t="s">
        <v>117</v>
      </c>
      <c r="I4" s="177" t="s">
        <v>115</v>
      </c>
      <c r="J4" s="177" t="s">
        <v>116</v>
      </c>
      <c r="K4" s="177" t="s">
        <v>117</v>
      </c>
      <c r="L4" s="177" t="s">
        <v>115</v>
      </c>
      <c r="M4" s="177" t="s">
        <v>116</v>
      </c>
      <c r="N4" s="177" t="s">
        <v>117</v>
      </c>
      <c r="O4" s="178" t="s">
        <v>1943</v>
      </c>
      <c r="P4" s="178" t="s">
        <v>1944</v>
      </c>
      <c r="Q4" s="178" t="s">
        <v>1943</v>
      </c>
      <c r="R4" s="178" t="s">
        <v>1944</v>
      </c>
    </row>
    <row r="5" spans="1:14" ht="12.75">
      <c r="A5" s="32" t="s">
        <v>143</v>
      </c>
      <c r="B5" s="5" t="s">
        <v>120</v>
      </c>
      <c r="C5" s="5">
        <v>130</v>
      </c>
      <c r="D5" s="5">
        <v>42</v>
      </c>
      <c r="E5" s="5">
        <f>C5+D5</f>
        <v>172</v>
      </c>
      <c r="F5" s="5">
        <v>116</v>
      </c>
      <c r="G5" s="5">
        <v>37</v>
      </c>
      <c r="H5" s="5">
        <f>F5+G5</f>
        <v>153</v>
      </c>
      <c r="I5" s="5">
        <v>104</v>
      </c>
      <c r="J5" s="5">
        <v>40</v>
      </c>
      <c r="K5" s="5">
        <f>I5+J5</f>
        <v>144</v>
      </c>
      <c r="L5" s="5">
        <v>88</v>
      </c>
      <c r="M5" s="5">
        <v>37</v>
      </c>
      <c r="N5" s="5">
        <f>L5+M5</f>
        <v>125</v>
      </c>
    </row>
    <row r="6" spans="1:14" ht="12.75">
      <c r="A6" s="32" t="s">
        <v>144</v>
      </c>
      <c r="B6" s="5" t="s">
        <v>120</v>
      </c>
      <c r="C6" s="5">
        <v>134</v>
      </c>
      <c r="D6" s="5">
        <v>37</v>
      </c>
      <c r="E6" s="5">
        <f aca="true" t="shared" si="0" ref="E6:E19">C6+D6</f>
        <v>171</v>
      </c>
      <c r="F6" s="5">
        <v>125</v>
      </c>
      <c r="G6" s="5">
        <v>37</v>
      </c>
      <c r="H6" s="5">
        <f aca="true" t="shared" si="1" ref="H6:H19">F6+G6</f>
        <v>162</v>
      </c>
      <c r="I6" s="5">
        <v>106</v>
      </c>
      <c r="J6" s="5">
        <v>42</v>
      </c>
      <c r="K6" s="5">
        <f aca="true" t="shared" si="2" ref="K6:K19">I6+J6</f>
        <v>148</v>
      </c>
      <c r="L6" s="5">
        <v>93</v>
      </c>
      <c r="M6" s="5">
        <v>39</v>
      </c>
      <c r="N6" s="5">
        <f aca="true" t="shared" si="3" ref="N6:N19">L6+M6</f>
        <v>132</v>
      </c>
    </row>
    <row r="7" spans="1:14" ht="12.75">
      <c r="A7" s="32" t="s">
        <v>145</v>
      </c>
      <c r="B7" s="5" t="s">
        <v>120</v>
      </c>
      <c r="C7" s="5">
        <v>131</v>
      </c>
      <c r="D7" s="5">
        <v>41</v>
      </c>
      <c r="E7" s="5">
        <f t="shared" si="0"/>
        <v>172</v>
      </c>
      <c r="F7" s="5">
        <v>120</v>
      </c>
      <c r="G7" s="5">
        <v>40</v>
      </c>
      <c r="H7" s="5">
        <f t="shared" si="1"/>
        <v>160</v>
      </c>
      <c r="I7" s="5">
        <v>103</v>
      </c>
      <c r="J7" s="5">
        <v>38</v>
      </c>
      <c r="K7" s="5">
        <f t="shared" si="2"/>
        <v>141</v>
      </c>
      <c r="L7" s="5">
        <v>102</v>
      </c>
      <c r="M7" s="5">
        <v>41</v>
      </c>
      <c r="N7" s="5">
        <f t="shared" si="3"/>
        <v>143</v>
      </c>
    </row>
    <row r="8" spans="1:14" ht="12.75">
      <c r="A8" t="s">
        <v>121</v>
      </c>
      <c r="B8" s="5"/>
      <c r="C8" s="179">
        <f>AVERAGE(C5:C7)</f>
        <v>131.66666666666666</v>
      </c>
      <c r="D8" s="179">
        <f aca="true" t="shared" si="4" ref="D8:N8">AVERAGE(D5:D7)</f>
        <v>40</v>
      </c>
      <c r="E8" s="179">
        <f t="shared" si="4"/>
        <v>171.66666666666666</v>
      </c>
      <c r="F8" s="179">
        <f t="shared" si="4"/>
        <v>120.33333333333333</v>
      </c>
      <c r="G8" s="179">
        <f t="shared" si="4"/>
        <v>38</v>
      </c>
      <c r="H8" s="179">
        <f t="shared" si="4"/>
        <v>158.33333333333334</v>
      </c>
      <c r="I8" s="179">
        <f t="shared" si="4"/>
        <v>104.33333333333333</v>
      </c>
      <c r="J8" s="179">
        <f t="shared" si="4"/>
        <v>40</v>
      </c>
      <c r="K8" s="179">
        <f t="shared" si="4"/>
        <v>144.33333333333334</v>
      </c>
      <c r="L8" s="179">
        <f t="shared" si="4"/>
        <v>94.33333333333333</v>
      </c>
      <c r="M8" s="179">
        <f t="shared" si="4"/>
        <v>39</v>
      </c>
      <c r="N8" s="179">
        <f t="shared" si="4"/>
        <v>133.33333333333334</v>
      </c>
    </row>
    <row r="9" spans="2:14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t="s">
        <v>122</v>
      </c>
      <c r="B10" s="5" t="s">
        <v>120</v>
      </c>
      <c r="C10" s="5">
        <v>130</v>
      </c>
      <c r="D10" s="5">
        <v>45</v>
      </c>
      <c r="E10" s="5">
        <f t="shared" si="0"/>
        <v>175</v>
      </c>
      <c r="F10" s="5">
        <v>117</v>
      </c>
      <c r="G10" s="5">
        <v>43</v>
      </c>
      <c r="H10" s="5">
        <f t="shared" si="1"/>
        <v>160</v>
      </c>
      <c r="I10" s="5">
        <v>103</v>
      </c>
      <c r="J10" s="5">
        <v>46</v>
      </c>
      <c r="K10" s="5">
        <f t="shared" si="2"/>
        <v>149</v>
      </c>
      <c r="L10" s="5">
        <v>92</v>
      </c>
      <c r="M10" s="5">
        <v>42</v>
      </c>
      <c r="N10" s="5">
        <f t="shared" si="3"/>
        <v>134</v>
      </c>
    </row>
    <row r="11" spans="1:14" ht="12.75">
      <c r="A11" t="s">
        <v>123</v>
      </c>
      <c r="B11" s="5" t="s">
        <v>120</v>
      </c>
      <c r="C11" s="5">
        <v>131</v>
      </c>
      <c r="D11" s="5">
        <v>46</v>
      </c>
      <c r="E11" s="5">
        <f t="shared" si="0"/>
        <v>177</v>
      </c>
      <c r="F11" s="5">
        <v>119</v>
      </c>
      <c r="G11" s="5">
        <v>44</v>
      </c>
      <c r="H11" s="5">
        <f t="shared" si="1"/>
        <v>163</v>
      </c>
      <c r="I11" s="5">
        <v>101</v>
      </c>
      <c r="J11" s="5">
        <v>46</v>
      </c>
      <c r="K11" s="5">
        <f t="shared" si="2"/>
        <v>147</v>
      </c>
      <c r="L11" s="5">
        <v>94</v>
      </c>
      <c r="M11" s="5">
        <v>44</v>
      </c>
      <c r="N11" s="5">
        <f t="shared" si="3"/>
        <v>138</v>
      </c>
    </row>
    <row r="12" spans="1:14" ht="12.75">
      <c r="A12" t="s">
        <v>124</v>
      </c>
      <c r="B12" s="5" t="s">
        <v>120</v>
      </c>
      <c r="C12" s="5">
        <v>123</v>
      </c>
      <c r="D12" s="5">
        <v>47</v>
      </c>
      <c r="E12" s="5">
        <f t="shared" si="0"/>
        <v>170</v>
      </c>
      <c r="F12" s="5">
        <v>116</v>
      </c>
      <c r="G12" s="5">
        <v>44</v>
      </c>
      <c r="H12" s="5">
        <f t="shared" si="1"/>
        <v>160</v>
      </c>
      <c r="I12" s="5">
        <v>105</v>
      </c>
      <c r="J12" s="5">
        <v>47</v>
      </c>
      <c r="K12" s="5">
        <f t="shared" si="2"/>
        <v>152</v>
      </c>
      <c r="L12" s="5">
        <v>96</v>
      </c>
      <c r="M12" s="5">
        <v>46</v>
      </c>
      <c r="N12" s="5">
        <f t="shared" si="3"/>
        <v>142</v>
      </c>
    </row>
    <row r="13" spans="1:14" ht="12.75">
      <c r="A13" t="s">
        <v>121</v>
      </c>
      <c r="B13" s="5"/>
      <c r="C13" s="179">
        <f aca="true" t="shared" si="5" ref="C13:N13">AVERAGE(C10:C12)</f>
        <v>128</v>
      </c>
      <c r="D13" s="179">
        <f t="shared" si="5"/>
        <v>46</v>
      </c>
      <c r="E13" s="179">
        <f t="shared" si="5"/>
        <v>174</v>
      </c>
      <c r="F13" s="179">
        <f t="shared" si="5"/>
        <v>117.33333333333333</v>
      </c>
      <c r="G13" s="179">
        <f t="shared" si="5"/>
        <v>43.666666666666664</v>
      </c>
      <c r="H13" s="179">
        <f t="shared" si="5"/>
        <v>161</v>
      </c>
      <c r="I13" s="179">
        <f t="shared" si="5"/>
        <v>103</v>
      </c>
      <c r="J13" s="179">
        <f t="shared" si="5"/>
        <v>46.333333333333336</v>
      </c>
      <c r="K13" s="179">
        <f t="shared" si="5"/>
        <v>149.33333333333334</v>
      </c>
      <c r="L13" s="179">
        <f t="shared" si="5"/>
        <v>94</v>
      </c>
      <c r="M13" s="179">
        <f t="shared" si="5"/>
        <v>44</v>
      </c>
      <c r="N13" s="179">
        <f t="shared" si="5"/>
        <v>138</v>
      </c>
    </row>
    <row r="14" spans="2:14" ht="12.75">
      <c r="B14" s="5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</row>
    <row r="15" spans="1:18" ht="12.75">
      <c r="A15" t="s">
        <v>125</v>
      </c>
      <c r="B15" s="5" t="s">
        <v>120</v>
      </c>
      <c r="C15" s="179">
        <v>130</v>
      </c>
      <c r="D15" s="179">
        <v>43</v>
      </c>
      <c r="E15" s="179">
        <v>173</v>
      </c>
      <c r="F15" s="179">
        <v>119</v>
      </c>
      <c r="G15" s="179">
        <v>41</v>
      </c>
      <c r="H15" s="179">
        <v>160</v>
      </c>
      <c r="I15" s="179">
        <v>104</v>
      </c>
      <c r="J15" s="179">
        <v>43</v>
      </c>
      <c r="K15" s="179">
        <v>147</v>
      </c>
      <c r="L15" s="179">
        <v>84</v>
      </c>
      <c r="M15" s="179">
        <v>41</v>
      </c>
      <c r="N15" s="179">
        <v>125</v>
      </c>
      <c r="O15" s="179">
        <v>15</v>
      </c>
      <c r="P15" s="179">
        <v>20</v>
      </c>
      <c r="Q15" s="179">
        <v>15</v>
      </c>
      <c r="R15" s="179">
        <v>25</v>
      </c>
    </row>
    <row r="16" spans="2:14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t="s">
        <v>126</v>
      </c>
      <c r="B17" s="5" t="s">
        <v>127</v>
      </c>
      <c r="C17" s="5">
        <v>148</v>
      </c>
      <c r="D17" s="5">
        <v>36</v>
      </c>
      <c r="E17" s="5">
        <f t="shared" si="0"/>
        <v>184</v>
      </c>
      <c r="F17" s="5">
        <v>131</v>
      </c>
      <c r="G17" s="5">
        <v>35</v>
      </c>
      <c r="H17" s="5">
        <f t="shared" si="1"/>
        <v>166</v>
      </c>
      <c r="I17" s="5">
        <v>109</v>
      </c>
      <c r="J17" s="5">
        <v>34</v>
      </c>
      <c r="K17" s="5">
        <f t="shared" si="2"/>
        <v>143</v>
      </c>
      <c r="L17" s="5">
        <v>94</v>
      </c>
      <c r="M17" s="5">
        <v>31</v>
      </c>
      <c r="N17" s="5">
        <f t="shared" si="3"/>
        <v>125</v>
      </c>
    </row>
    <row r="18" spans="1:14" ht="12.75">
      <c r="A18" t="s">
        <v>128</v>
      </c>
      <c r="B18" s="5" t="s">
        <v>127</v>
      </c>
      <c r="C18" s="5">
        <v>139</v>
      </c>
      <c r="D18" s="5">
        <v>36</v>
      </c>
      <c r="E18" s="5">
        <f t="shared" si="0"/>
        <v>175</v>
      </c>
      <c r="F18" s="5">
        <v>125</v>
      </c>
      <c r="G18" s="5">
        <v>35</v>
      </c>
      <c r="H18" s="5">
        <f t="shared" si="1"/>
        <v>160</v>
      </c>
      <c r="I18" s="5">
        <v>102</v>
      </c>
      <c r="J18" s="5">
        <v>36</v>
      </c>
      <c r="K18" s="5">
        <f t="shared" si="2"/>
        <v>138</v>
      </c>
      <c r="L18" s="5">
        <v>88</v>
      </c>
      <c r="M18" s="5">
        <v>34</v>
      </c>
      <c r="N18" s="5">
        <f t="shared" si="3"/>
        <v>122</v>
      </c>
    </row>
    <row r="19" spans="1:14" ht="12.75">
      <c r="A19" t="s">
        <v>129</v>
      </c>
      <c r="B19" s="5" t="s">
        <v>127</v>
      </c>
      <c r="C19" s="5">
        <v>144</v>
      </c>
      <c r="D19" s="5">
        <v>36</v>
      </c>
      <c r="E19" s="5">
        <f t="shared" si="0"/>
        <v>180</v>
      </c>
      <c r="F19" s="5">
        <v>125</v>
      </c>
      <c r="G19" s="5">
        <v>34</v>
      </c>
      <c r="H19" s="5">
        <f t="shared" si="1"/>
        <v>159</v>
      </c>
      <c r="I19" s="5">
        <v>104</v>
      </c>
      <c r="J19" s="5">
        <v>33</v>
      </c>
      <c r="K19" s="5">
        <f t="shared" si="2"/>
        <v>137</v>
      </c>
      <c r="L19" s="5">
        <v>90</v>
      </c>
      <c r="M19" s="5">
        <v>34</v>
      </c>
      <c r="N19" s="5">
        <f t="shared" si="3"/>
        <v>124</v>
      </c>
    </row>
    <row r="20" spans="1:18" ht="12.75">
      <c r="A20" t="s">
        <v>121</v>
      </c>
      <c r="B20" s="5"/>
      <c r="C20" s="179">
        <f aca="true" t="shared" si="6" ref="C20:N20">AVERAGE(C17:C19)</f>
        <v>143.66666666666666</v>
      </c>
      <c r="D20" s="179">
        <f t="shared" si="6"/>
        <v>36</v>
      </c>
      <c r="E20" s="179">
        <f t="shared" si="6"/>
        <v>179.66666666666666</v>
      </c>
      <c r="F20" s="179">
        <f t="shared" si="6"/>
        <v>127</v>
      </c>
      <c r="G20" s="179">
        <f t="shared" si="6"/>
        <v>34.666666666666664</v>
      </c>
      <c r="H20" s="179">
        <f t="shared" si="6"/>
        <v>161.66666666666666</v>
      </c>
      <c r="I20" s="179">
        <f t="shared" si="6"/>
        <v>105</v>
      </c>
      <c r="J20" s="179">
        <f t="shared" si="6"/>
        <v>34.333333333333336</v>
      </c>
      <c r="K20" s="179">
        <f t="shared" si="6"/>
        <v>139.33333333333334</v>
      </c>
      <c r="L20" s="179">
        <f t="shared" si="6"/>
        <v>90.66666666666667</v>
      </c>
      <c r="M20" s="179">
        <f t="shared" si="6"/>
        <v>33</v>
      </c>
      <c r="N20" s="179">
        <f t="shared" si="6"/>
        <v>123.66666666666667</v>
      </c>
      <c r="O20" s="5">
        <v>20</v>
      </c>
      <c r="P20" s="5">
        <v>25</v>
      </c>
      <c r="Q20" s="5">
        <v>20</v>
      </c>
      <c r="R20" s="5">
        <v>25</v>
      </c>
    </row>
    <row r="21" spans="2:14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t="s">
        <v>130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t="s">
        <v>131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t="s">
        <v>132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32" t="s">
        <v>284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ht="12.75">
      <c r="A26" t="s">
        <v>283</v>
      </c>
    </row>
    <row r="27" spans="1:7" ht="12.75">
      <c r="A27" s="32" t="s">
        <v>142</v>
      </c>
      <c r="G27" t="s">
        <v>141</v>
      </c>
    </row>
    <row r="28" ht="12.75">
      <c r="A28" s="32"/>
    </row>
    <row r="29" ht="12.75">
      <c r="A29" s="32"/>
    </row>
    <row r="30" ht="12.75">
      <c r="A30" s="2" t="s">
        <v>1396</v>
      </c>
    </row>
    <row r="31" ht="12.75">
      <c r="A31" s="32"/>
    </row>
    <row r="32" ht="12.75">
      <c r="A32" s="32" t="s">
        <v>467</v>
      </c>
    </row>
    <row r="33" ht="12.75">
      <c r="A33" s="32" t="s">
        <v>468</v>
      </c>
    </row>
    <row r="34" ht="12.75">
      <c r="A34" s="32"/>
    </row>
    <row r="35" ht="12.75">
      <c r="A35" s="32"/>
    </row>
    <row r="36" ht="12.75">
      <c r="A36" s="2" t="s">
        <v>2054</v>
      </c>
    </row>
    <row r="37" spans="1:9" ht="12.75">
      <c r="A37" s="32"/>
      <c r="B37" s="273" t="s">
        <v>193</v>
      </c>
      <c r="C37" s="273"/>
      <c r="D37" s="273" t="s">
        <v>2057</v>
      </c>
      <c r="E37" s="273"/>
      <c r="F37" s="273" t="s">
        <v>2058</v>
      </c>
      <c r="G37" s="273"/>
      <c r="H37" s="273" t="s">
        <v>119</v>
      </c>
      <c r="I37" s="273"/>
    </row>
    <row r="38" spans="1:9" ht="12.75">
      <c r="A38" s="32" t="s">
        <v>2055</v>
      </c>
      <c r="B38">
        <v>10</v>
      </c>
      <c r="C38">
        <v>12</v>
      </c>
      <c r="D38">
        <v>130</v>
      </c>
      <c r="E38">
        <v>142</v>
      </c>
      <c r="F38">
        <v>67</v>
      </c>
      <c r="G38">
        <v>76</v>
      </c>
      <c r="H38">
        <v>0</v>
      </c>
      <c r="I38">
        <v>0</v>
      </c>
    </row>
    <row r="39" spans="1:9" ht="12.75">
      <c r="A39" s="32" t="s">
        <v>2056</v>
      </c>
      <c r="B39">
        <v>8</v>
      </c>
      <c r="C39">
        <v>18</v>
      </c>
      <c r="D39">
        <v>80</v>
      </c>
      <c r="E39">
        <v>102</v>
      </c>
      <c r="F39">
        <v>50</v>
      </c>
      <c r="G39">
        <v>80</v>
      </c>
      <c r="H39">
        <v>0</v>
      </c>
      <c r="I39">
        <v>0</v>
      </c>
    </row>
    <row r="40" ht="12.75">
      <c r="A40" s="32"/>
    </row>
    <row r="41" ht="12.75">
      <c r="A41" t="s">
        <v>194</v>
      </c>
    </row>
    <row r="42" ht="12.75">
      <c r="A42" s="32" t="s">
        <v>2059</v>
      </c>
    </row>
    <row r="43" ht="12.75">
      <c r="A43" s="32" t="s">
        <v>2060</v>
      </c>
    </row>
    <row r="44" ht="12.75">
      <c r="A44" s="32" t="s">
        <v>2061</v>
      </c>
    </row>
    <row r="45" ht="12.75">
      <c r="A45" t="s">
        <v>195</v>
      </c>
    </row>
    <row r="46" ht="12.75">
      <c r="A46" s="32"/>
    </row>
    <row r="47" ht="12.75">
      <c r="A47" s="32" t="s">
        <v>2062</v>
      </c>
    </row>
    <row r="48" ht="12.75">
      <c r="A48" s="32"/>
    </row>
    <row r="50" spans="1:3" ht="12.75">
      <c r="A50" s="2" t="s">
        <v>192</v>
      </c>
      <c r="C50" t="s">
        <v>107</v>
      </c>
    </row>
    <row r="52" spans="2:11" ht="12.75">
      <c r="B52" s="262" t="s">
        <v>193</v>
      </c>
      <c r="C52" s="262"/>
      <c r="D52" s="273" t="s">
        <v>153</v>
      </c>
      <c r="E52" s="273"/>
      <c r="F52" s="273" t="s">
        <v>154</v>
      </c>
      <c r="G52" s="273"/>
      <c r="H52" s="262" t="s">
        <v>119</v>
      </c>
      <c r="I52" s="262"/>
      <c r="K52" s="32" t="s">
        <v>151</v>
      </c>
    </row>
    <row r="53" spans="2:12" ht="12.75">
      <c r="B53" s="43" t="s">
        <v>152</v>
      </c>
      <c r="C53" s="43" t="s">
        <v>1944</v>
      </c>
      <c r="D53" s="43" t="s">
        <v>152</v>
      </c>
      <c r="E53" s="43" t="s">
        <v>1944</v>
      </c>
      <c r="F53" s="43" t="s">
        <v>152</v>
      </c>
      <c r="G53" s="43" t="s">
        <v>1944</v>
      </c>
      <c r="H53" s="43" t="s">
        <v>152</v>
      </c>
      <c r="I53" s="43" t="s">
        <v>1944</v>
      </c>
      <c r="K53" s="43" t="s">
        <v>152</v>
      </c>
      <c r="L53" s="43" t="s">
        <v>1944</v>
      </c>
    </row>
    <row r="54" spans="1:12" ht="12.75">
      <c r="A54" s="32" t="s">
        <v>2067</v>
      </c>
      <c r="B54" s="5">
        <v>7</v>
      </c>
      <c r="C54" s="5">
        <v>9</v>
      </c>
      <c r="D54" s="43">
        <v>25</v>
      </c>
      <c r="E54" s="43">
        <v>35</v>
      </c>
      <c r="F54" s="43">
        <v>55</v>
      </c>
      <c r="G54" s="43">
        <v>75</v>
      </c>
      <c r="H54" s="43">
        <v>15</v>
      </c>
      <c r="I54" s="43">
        <v>25</v>
      </c>
      <c r="K54" s="5">
        <v>125</v>
      </c>
      <c r="L54" s="5">
        <v>130</v>
      </c>
    </row>
    <row r="55" spans="1:14" ht="12.75">
      <c r="A55" s="32" t="s">
        <v>147</v>
      </c>
      <c r="B55" s="5">
        <v>7</v>
      </c>
      <c r="C55" s="5">
        <v>9</v>
      </c>
      <c r="D55" s="5">
        <v>35</v>
      </c>
      <c r="E55" s="5">
        <v>45</v>
      </c>
      <c r="F55" s="5">
        <v>60</v>
      </c>
      <c r="G55" s="5">
        <v>70</v>
      </c>
      <c r="H55" s="5">
        <v>10</v>
      </c>
      <c r="I55" s="5">
        <v>30</v>
      </c>
      <c r="K55" s="5">
        <v>125</v>
      </c>
      <c r="L55" s="5">
        <v>130</v>
      </c>
      <c r="M55">
        <f aca="true" t="shared" si="7" ref="M55:N60">B55+D55+F55+H55</f>
        <v>112</v>
      </c>
      <c r="N55">
        <f t="shared" si="7"/>
        <v>154</v>
      </c>
    </row>
    <row r="56" spans="1:14" ht="12.75">
      <c r="A56" s="32" t="s">
        <v>148</v>
      </c>
      <c r="B56" s="5">
        <v>7</v>
      </c>
      <c r="C56" s="5">
        <v>9</v>
      </c>
      <c r="D56" s="5">
        <v>35</v>
      </c>
      <c r="E56" s="5">
        <v>50</v>
      </c>
      <c r="F56" s="5">
        <v>75</v>
      </c>
      <c r="G56" s="5">
        <v>80</v>
      </c>
      <c r="H56" s="5">
        <v>10</v>
      </c>
      <c r="I56" s="5">
        <v>30</v>
      </c>
      <c r="K56" s="5">
        <v>130</v>
      </c>
      <c r="L56" s="5">
        <v>150</v>
      </c>
      <c r="M56">
        <f t="shared" si="7"/>
        <v>127</v>
      </c>
      <c r="N56">
        <f t="shared" si="7"/>
        <v>169</v>
      </c>
    </row>
    <row r="57" spans="1:14" ht="12.75">
      <c r="A57" s="32" t="s">
        <v>149</v>
      </c>
      <c r="B57" s="5">
        <v>7</v>
      </c>
      <c r="C57" s="5">
        <v>9</v>
      </c>
      <c r="D57" s="5">
        <v>45</v>
      </c>
      <c r="E57" s="5">
        <v>55</v>
      </c>
      <c r="F57" s="5">
        <v>75</v>
      </c>
      <c r="G57" s="5">
        <v>80</v>
      </c>
      <c r="H57" s="5">
        <v>15</v>
      </c>
      <c r="I57" s="5">
        <v>30</v>
      </c>
      <c r="K57" s="5">
        <v>150</v>
      </c>
      <c r="L57" s="5">
        <v>160</v>
      </c>
      <c r="M57">
        <f t="shared" si="7"/>
        <v>142</v>
      </c>
      <c r="N57">
        <f t="shared" si="7"/>
        <v>174</v>
      </c>
    </row>
    <row r="58" spans="1:14" ht="12.75">
      <c r="A58" s="32" t="s">
        <v>150</v>
      </c>
      <c r="B58" s="5">
        <v>7</v>
      </c>
      <c r="C58" s="5">
        <v>9</v>
      </c>
      <c r="D58" s="5">
        <v>50</v>
      </c>
      <c r="E58" s="5">
        <v>60</v>
      </c>
      <c r="F58" s="5">
        <v>75</v>
      </c>
      <c r="G58" s="5">
        <v>90</v>
      </c>
      <c r="H58" s="5">
        <v>15</v>
      </c>
      <c r="I58" s="5">
        <v>30</v>
      </c>
      <c r="K58" s="5">
        <v>160</v>
      </c>
      <c r="L58" s="5">
        <v>170</v>
      </c>
      <c r="M58">
        <f t="shared" si="7"/>
        <v>147</v>
      </c>
      <c r="N58">
        <f t="shared" si="7"/>
        <v>189</v>
      </c>
    </row>
    <row r="59" spans="1:14" ht="12.75">
      <c r="A59" s="32" t="s">
        <v>2053</v>
      </c>
      <c r="B59" s="5">
        <v>7</v>
      </c>
      <c r="C59" s="5">
        <v>9</v>
      </c>
      <c r="D59" s="5">
        <v>55</v>
      </c>
      <c r="E59" s="5">
        <v>70</v>
      </c>
      <c r="F59" s="5">
        <v>80</v>
      </c>
      <c r="G59" s="5">
        <v>95</v>
      </c>
      <c r="H59" s="5">
        <v>15</v>
      </c>
      <c r="I59" s="5">
        <v>30</v>
      </c>
      <c r="K59" s="5">
        <v>160</v>
      </c>
      <c r="L59" s="5">
        <v>170</v>
      </c>
      <c r="M59">
        <f t="shared" si="7"/>
        <v>157</v>
      </c>
      <c r="N59">
        <f t="shared" si="7"/>
        <v>204</v>
      </c>
    </row>
    <row r="60" spans="1:14" ht="12.75">
      <c r="A60" s="32" t="s">
        <v>2068</v>
      </c>
      <c r="B60" s="5">
        <v>7</v>
      </c>
      <c r="C60" s="5">
        <v>9</v>
      </c>
      <c r="D60" s="5">
        <v>70</v>
      </c>
      <c r="E60" s="5">
        <v>100</v>
      </c>
      <c r="F60" s="5">
        <v>95</v>
      </c>
      <c r="G60" s="5">
        <v>95</v>
      </c>
      <c r="H60" s="5">
        <v>15</v>
      </c>
      <c r="I60" s="5">
        <v>30</v>
      </c>
      <c r="K60" s="5">
        <v>160</v>
      </c>
      <c r="L60" s="5">
        <v>170</v>
      </c>
      <c r="M60">
        <f t="shared" si="7"/>
        <v>187</v>
      </c>
      <c r="N60">
        <f t="shared" si="7"/>
        <v>234</v>
      </c>
    </row>
    <row r="62" ht="12.75">
      <c r="A62" t="s">
        <v>194</v>
      </c>
    </row>
    <row r="63" ht="12.75">
      <c r="A63" t="s">
        <v>196</v>
      </c>
    </row>
    <row r="64" ht="12.75">
      <c r="A64" t="s">
        <v>197</v>
      </c>
    </row>
    <row r="65" ht="12.75">
      <c r="A65" t="s">
        <v>198</v>
      </c>
    </row>
    <row r="66" ht="12.75">
      <c r="A66" t="s">
        <v>195</v>
      </c>
    </row>
    <row r="69" ht="12.75">
      <c r="A69" s="2" t="s">
        <v>971</v>
      </c>
    </row>
    <row r="71" ht="12.75">
      <c r="A71" t="s">
        <v>2069</v>
      </c>
    </row>
  </sheetData>
  <sheetProtection/>
  <mergeCells count="15">
    <mergeCell ref="B37:C37"/>
    <mergeCell ref="D37:E37"/>
    <mergeCell ref="F37:G37"/>
    <mergeCell ref="H37:I37"/>
    <mergeCell ref="B52:C52"/>
    <mergeCell ref="D52:E52"/>
    <mergeCell ref="F52:G52"/>
    <mergeCell ref="H52:I52"/>
    <mergeCell ref="O2:P2"/>
    <mergeCell ref="Q3:R3"/>
    <mergeCell ref="O3:P3"/>
    <mergeCell ref="C3:E3"/>
    <mergeCell ref="F3:H3"/>
    <mergeCell ref="I3:K3"/>
    <mergeCell ref="L3:N3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GridLines="0" showRowColHeaders="0" zoomScale="85" zoomScaleNormal="85" zoomScalePageLayoutView="0" workbookViewId="0" topLeftCell="A1">
      <pane ySplit="1" topLeftCell="A2" activePane="bottomLeft" state="frozen"/>
      <selection pane="topLeft" activeCell="H34" sqref="H34"/>
      <selection pane="bottomLeft" activeCell="A1" sqref="A1"/>
    </sheetView>
  </sheetViews>
  <sheetFormatPr defaultColWidth="11.421875" defaultRowHeight="12.75"/>
  <cols>
    <col min="1" max="7" width="7.7109375" style="0" customWidth="1"/>
    <col min="8" max="8" width="8.7109375" style="0" customWidth="1"/>
    <col min="9" max="17" width="7.7109375" style="0" customWidth="1"/>
    <col min="18" max="18" width="7.7109375" style="0" hidden="1" customWidth="1"/>
    <col min="19" max="19" width="9.7109375" style="0" hidden="1" customWidth="1"/>
    <col min="20" max="22" width="7.7109375" style="0" hidden="1" customWidth="1"/>
    <col min="23" max="23" width="7.7109375" style="0" customWidth="1"/>
  </cols>
  <sheetData>
    <row r="1" spans="1:18" ht="12.75">
      <c r="A1" s="2" t="s">
        <v>1293</v>
      </c>
      <c r="D1" s="68" t="s">
        <v>1292</v>
      </c>
      <c r="E1" s="46">
        <v>2023</v>
      </c>
      <c r="I1" s="51"/>
      <c r="J1" s="54">
        <f>IF(E1&lt;1,E1+1,E1)</f>
        <v>2023</v>
      </c>
      <c r="K1" s="94">
        <f>IF(L1=1,"Bisiesto","")</f>
      </c>
      <c r="L1" s="50">
        <f>IF(MOD($J$1,4)=0,1,0)</f>
        <v>0</v>
      </c>
      <c r="N1" s="52" t="s">
        <v>182</v>
      </c>
      <c r="O1" s="95">
        <f>365*J1+1+INT((J1-1)/4)</f>
        <v>738901</v>
      </c>
      <c r="R1" t="s">
        <v>183</v>
      </c>
    </row>
    <row r="2" spans="1:23" ht="12.75">
      <c r="A2" s="44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4"/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R2" s="1" t="s">
        <v>177</v>
      </c>
      <c r="S2" s="15">
        <f>IF($E$1&lt;1583,15,15+INT($E$1/100)-INT($E$1/100/3)-INT($E$1/100/4))</f>
        <v>24</v>
      </c>
      <c r="T2" s="1" t="s">
        <v>178</v>
      </c>
      <c r="U2" s="15">
        <f>IF($E$1&lt;1583,6,MOD(4+INT($E$1/100)-INT($E$1/100/4),7))</f>
        <v>5</v>
      </c>
      <c r="V2" s="1"/>
      <c r="W2" s="1"/>
    </row>
    <row r="3" spans="1:23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1" t="s">
        <v>179</v>
      </c>
      <c r="S3" s="15">
        <f>MOD(19*MOD($E$1,19)+S2,30)</f>
        <v>15</v>
      </c>
      <c r="T3" s="1">
        <f>IF(OR(AND(S3=29,S4=6),AND(S3=28,S4=6,MOD($E$1,19)&gt;10)),S3-7,S3)</f>
        <v>15</v>
      </c>
      <c r="U3" s="15"/>
      <c r="V3" s="1"/>
      <c r="W3" s="1"/>
    </row>
    <row r="4" spans="1:20" ht="20.25">
      <c r="A4" s="13"/>
      <c r="D4" s="13"/>
      <c r="H4" s="14" t="str">
        <f>IF($E$1&lt;0,"Año "&amp;ABS(E1)&amp;" a. C. (Calendario Juliano)",IF($E$1=0,"No existe un año 0",IF($E$1=1582,"1582 (vea también la hoja 1582)",IF($E$1&gt;1582,"Año "&amp;$E$1&amp;" (Calendario Juliano)",$E$1))))</f>
        <v>Año 2023 (Calendario Juliano)</v>
      </c>
      <c r="R4" s="1" t="s">
        <v>180</v>
      </c>
      <c r="S4" s="16">
        <f>MOD(2*MOD($E$1,4)+4*MOD($E$1,7)+6*S3+U2,7)</f>
        <v>3</v>
      </c>
      <c r="T4" s="16">
        <f>S4</f>
        <v>3</v>
      </c>
    </row>
    <row r="5" spans="1:15" ht="12.75">
      <c r="A5" s="5"/>
      <c r="B5" s="5"/>
      <c r="C5" s="5"/>
      <c r="D5" s="6" t="str">
        <f>"Enero "&amp;$E$1</f>
        <v>Enero 2023</v>
      </c>
      <c r="E5" s="5"/>
      <c r="F5" s="5"/>
      <c r="G5" s="5"/>
      <c r="H5" s="5"/>
      <c r="I5" s="5"/>
      <c r="J5" s="5"/>
      <c r="K5" s="5"/>
      <c r="L5" s="6" t="str">
        <f>"Julio "&amp;$E$1</f>
        <v>Julio 2023</v>
      </c>
      <c r="M5" s="5"/>
      <c r="N5" s="5"/>
      <c r="O5" s="5"/>
    </row>
    <row r="6" spans="1:18" ht="16.5">
      <c r="A6" s="11" t="s">
        <v>170</v>
      </c>
      <c r="B6" s="12" t="s">
        <v>171</v>
      </c>
      <c r="C6" s="12" t="s">
        <v>172</v>
      </c>
      <c r="D6" s="12" t="s">
        <v>173</v>
      </c>
      <c r="E6" s="12" t="s">
        <v>174</v>
      </c>
      <c r="F6" s="12" t="s">
        <v>175</v>
      </c>
      <c r="G6" s="12" t="s">
        <v>176</v>
      </c>
      <c r="H6" s="12"/>
      <c r="I6" s="11" t="s">
        <v>170</v>
      </c>
      <c r="J6" s="12" t="s">
        <v>171</v>
      </c>
      <c r="K6" s="12" t="s">
        <v>172</v>
      </c>
      <c r="L6" s="12" t="s">
        <v>173</v>
      </c>
      <c r="M6" s="12" t="s">
        <v>174</v>
      </c>
      <c r="N6" s="12" t="s">
        <v>175</v>
      </c>
      <c r="O6" s="12" t="s">
        <v>176</v>
      </c>
      <c r="P6" s="7"/>
      <c r="Q6" s="7"/>
      <c r="R6" s="7"/>
    </row>
    <row r="7" spans="1:23" ht="12.75">
      <c r="A7" s="13">
        <f>IF($T$9=A$2,1,"")</f>
      </c>
      <c r="B7" s="9">
        <f aca="true" t="shared" si="0" ref="B7:G7">IF($T$9=B$2,1,IF(A7&lt;&gt;"",A7+1,""))</f>
      </c>
      <c r="C7" s="9">
        <f t="shared" si="0"/>
      </c>
      <c r="D7" s="9">
        <f t="shared" si="0"/>
      </c>
      <c r="E7" s="9">
        <f t="shared" si="0"/>
      </c>
      <c r="F7" s="9">
        <f t="shared" si="0"/>
      </c>
      <c r="G7" s="9">
        <f t="shared" si="0"/>
        <v>1</v>
      </c>
      <c r="H7" s="9"/>
      <c r="I7" s="13">
        <f>IF($T$15=I$2,1,"")</f>
      </c>
      <c r="J7" s="9">
        <f aca="true" t="shared" si="1" ref="J7:O7">IF($T$15=J$2,1,IF(I7&lt;&gt;"",I7+1,""))</f>
      </c>
      <c r="K7" s="9">
        <f t="shared" si="1"/>
      </c>
      <c r="L7" s="9">
        <f t="shared" si="1"/>
      </c>
      <c r="M7" s="9">
        <f t="shared" si="1"/>
      </c>
      <c r="N7" s="9">
        <f t="shared" si="1"/>
        <v>1</v>
      </c>
      <c r="O7" s="9">
        <f t="shared" si="1"/>
        <v>2</v>
      </c>
      <c r="P7" s="3"/>
      <c r="R7" t="s">
        <v>187</v>
      </c>
      <c r="V7" s="3"/>
      <c r="W7" s="3"/>
    </row>
    <row r="8" spans="1:23" ht="12.75">
      <c r="A8" s="8">
        <f>IF(G7="","",IF(G7&lt;31,G7+1,""))</f>
        <v>2</v>
      </c>
      <c r="B8" s="5">
        <f aca="true" t="shared" si="2" ref="B8:G12">IF(A8="","",IF(A8&lt;31,A8+1,""))</f>
        <v>3</v>
      </c>
      <c r="C8" s="5">
        <f t="shared" si="2"/>
        <v>4</v>
      </c>
      <c r="D8" s="5">
        <f t="shared" si="2"/>
        <v>5</v>
      </c>
      <c r="E8" s="5">
        <f t="shared" si="2"/>
        <v>6</v>
      </c>
      <c r="F8" s="5">
        <f t="shared" si="2"/>
        <v>7</v>
      </c>
      <c r="G8" s="5">
        <f t="shared" si="2"/>
        <v>8</v>
      </c>
      <c r="H8" s="5"/>
      <c r="I8" s="10">
        <f>IF(O7="","",IF(O7&lt;31,O7+1,""))</f>
        <v>3</v>
      </c>
      <c r="J8" s="5">
        <f aca="true" t="shared" si="3" ref="J8:O12">IF(I8="","",IF(I8&lt;31,I8+1,""))</f>
        <v>4</v>
      </c>
      <c r="K8" s="5">
        <f t="shared" si="3"/>
        <v>5</v>
      </c>
      <c r="L8" s="5">
        <f t="shared" si="3"/>
        <v>6</v>
      </c>
      <c r="M8" s="5">
        <f t="shared" si="3"/>
        <v>7</v>
      </c>
      <c r="N8" s="5">
        <f t="shared" si="3"/>
        <v>8</v>
      </c>
      <c r="O8" s="5">
        <f t="shared" si="3"/>
        <v>9</v>
      </c>
      <c r="R8" s="1" t="s">
        <v>184</v>
      </c>
      <c r="S8" s="1" t="s">
        <v>185</v>
      </c>
      <c r="T8" s="1" t="s">
        <v>186</v>
      </c>
      <c r="V8" s="3"/>
      <c r="W8" s="3"/>
    </row>
    <row r="9" spans="1:20" ht="12.75">
      <c r="A9" s="8">
        <f>IF(G8="","",IF(G8&lt;31,G8+1,""))</f>
        <v>9</v>
      </c>
      <c r="B9" s="5">
        <f t="shared" si="2"/>
        <v>10</v>
      </c>
      <c r="C9" s="5">
        <f t="shared" si="2"/>
        <v>11</v>
      </c>
      <c r="D9" s="5">
        <f t="shared" si="2"/>
        <v>12</v>
      </c>
      <c r="E9" s="5">
        <f t="shared" si="2"/>
        <v>13</v>
      </c>
      <c r="F9" s="5">
        <f t="shared" si="2"/>
        <v>14</v>
      </c>
      <c r="G9" s="5">
        <f t="shared" si="2"/>
        <v>15</v>
      </c>
      <c r="H9" s="5"/>
      <c r="I9" s="10">
        <f>IF(O8="","",IF(O8&lt;31,O8+1,""))</f>
        <v>10</v>
      </c>
      <c r="J9" s="5">
        <f t="shared" si="3"/>
        <v>11</v>
      </c>
      <c r="K9" s="5">
        <f t="shared" si="3"/>
        <v>12</v>
      </c>
      <c r="L9" s="5">
        <f t="shared" si="3"/>
        <v>13</v>
      </c>
      <c r="M9" s="5">
        <f t="shared" si="3"/>
        <v>14</v>
      </c>
      <c r="N9" s="5">
        <f t="shared" si="3"/>
        <v>15</v>
      </c>
      <c r="O9" s="5">
        <f t="shared" si="3"/>
        <v>16</v>
      </c>
      <c r="R9">
        <v>1</v>
      </c>
      <c r="S9">
        <f>O1</f>
        <v>738901</v>
      </c>
      <c r="T9">
        <f aca="true" t="shared" si="4" ref="T9:T20">IF(S9+INT(-S9/7+1)*7+5&gt;7,S9+INT(-S9/7+1)*7-2,S9+INT(-S9/7+1)*7+5)</f>
        <v>7</v>
      </c>
    </row>
    <row r="10" spans="1:23" ht="12.75">
      <c r="A10" s="8">
        <f>IF(G9="","",IF(G9&lt;31,G9+1,""))</f>
        <v>16</v>
      </c>
      <c r="B10" s="5">
        <f t="shared" si="2"/>
        <v>17</v>
      </c>
      <c r="C10" s="5">
        <f t="shared" si="2"/>
        <v>18</v>
      </c>
      <c r="D10" s="5">
        <f t="shared" si="2"/>
        <v>19</v>
      </c>
      <c r="E10" s="5">
        <f t="shared" si="2"/>
        <v>20</v>
      </c>
      <c r="F10" s="5">
        <f t="shared" si="2"/>
        <v>21</v>
      </c>
      <c r="G10" s="5">
        <f t="shared" si="2"/>
        <v>22</v>
      </c>
      <c r="H10" s="5"/>
      <c r="I10" s="10">
        <f>IF(O9="","",IF(O9&lt;31,O9+1,""))</f>
        <v>17</v>
      </c>
      <c r="J10" s="5">
        <f t="shared" si="3"/>
        <v>18</v>
      </c>
      <c r="K10" s="5">
        <f t="shared" si="3"/>
        <v>19</v>
      </c>
      <c r="L10" s="5">
        <f t="shared" si="3"/>
        <v>20</v>
      </c>
      <c r="M10" s="5">
        <f t="shared" si="3"/>
        <v>21</v>
      </c>
      <c r="N10" s="5">
        <f t="shared" si="3"/>
        <v>22</v>
      </c>
      <c r="O10" s="5">
        <f t="shared" si="3"/>
        <v>23</v>
      </c>
      <c r="R10">
        <v>2</v>
      </c>
      <c r="S10">
        <f>S9+31</f>
        <v>738932</v>
      </c>
      <c r="T10">
        <f t="shared" si="4"/>
        <v>3</v>
      </c>
      <c r="W10" s="3"/>
    </row>
    <row r="11" spans="1:20" ht="12.75">
      <c r="A11" s="8">
        <f>IF(G10="","",IF(G10&lt;31,G10+1,""))</f>
        <v>23</v>
      </c>
      <c r="B11" s="5">
        <f t="shared" si="2"/>
        <v>24</v>
      </c>
      <c r="C11" s="5">
        <f t="shared" si="2"/>
        <v>25</v>
      </c>
      <c r="D11" s="5">
        <f t="shared" si="2"/>
        <v>26</v>
      </c>
      <c r="E11" s="5">
        <f t="shared" si="2"/>
        <v>27</v>
      </c>
      <c r="F11" s="5">
        <f t="shared" si="2"/>
        <v>28</v>
      </c>
      <c r="G11" s="5">
        <f t="shared" si="2"/>
        <v>29</v>
      </c>
      <c r="H11" s="5"/>
      <c r="I11" s="10">
        <f>IF(O10="","",IF(O10&lt;31,O10+1,""))</f>
        <v>24</v>
      </c>
      <c r="J11" s="5">
        <f t="shared" si="3"/>
        <v>25</v>
      </c>
      <c r="K11" s="5">
        <f t="shared" si="3"/>
        <v>26</v>
      </c>
      <c r="L11" s="5">
        <f t="shared" si="3"/>
        <v>27</v>
      </c>
      <c r="M11" s="5">
        <f t="shared" si="3"/>
        <v>28</v>
      </c>
      <c r="N11" s="5">
        <f t="shared" si="3"/>
        <v>29</v>
      </c>
      <c r="O11" s="5">
        <f t="shared" si="3"/>
        <v>30</v>
      </c>
      <c r="R11">
        <v>3</v>
      </c>
      <c r="S11">
        <f>S10+$L$1+28</f>
        <v>738960</v>
      </c>
      <c r="T11">
        <f t="shared" si="4"/>
        <v>3</v>
      </c>
    </row>
    <row r="12" spans="1:20" ht="12.75">
      <c r="A12" s="8">
        <f>IF(G11="","",IF(G11&lt;31,G11+1,""))</f>
        <v>30</v>
      </c>
      <c r="B12" s="5">
        <f t="shared" si="2"/>
        <v>31</v>
      </c>
      <c r="C12" s="5">
        <f t="shared" si="2"/>
      </c>
      <c r="D12" s="5">
        <f t="shared" si="2"/>
      </c>
      <c r="E12" s="5">
        <f t="shared" si="2"/>
      </c>
      <c r="F12" s="5">
        <f t="shared" si="2"/>
      </c>
      <c r="G12" s="5">
        <f t="shared" si="2"/>
      </c>
      <c r="H12" s="5"/>
      <c r="I12" s="10">
        <f>IF(O11="","",IF(O11&lt;31,O11+1,""))</f>
        <v>31</v>
      </c>
      <c r="J12" s="5">
        <f t="shared" si="3"/>
      </c>
      <c r="K12" s="5">
        <f t="shared" si="3"/>
      </c>
      <c r="L12" s="5">
        <f t="shared" si="3"/>
      </c>
      <c r="M12" s="5">
        <f t="shared" si="3"/>
      </c>
      <c r="N12" s="5">
        <f t="shared" si="3"/>
      </c>
      <c r="O12" s="5">
        <f t="shared" si="3"/>
      </c>
      <c r="R12">
        <v>4</v>
      </c>
      <c r="S12">
        <f>S11+31</f>
        <v>738991</v>
      </c>
      <c r="T12">
        <f t="shared" si="4"/>
        <v>6</v>
      </c>
    </row>
    <row r="13" spans="1:2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R13">
        <v>5</v>
      </c>
      <c r="S13">
        <f>S12+30</f>
        <v>739021</v>
      </c>
      <c r="T13">
        <f t="shared" si="4"/>
        <v>1</v>
      </c>
    </row>
    <row r="14" spans="1:20" ht="12.75">
      <c r="A14" s="5"/>
      <c r="B14" s="5"/>
      <c r="C14" s="5"/>
      <c r="D14" s="6" t="str">
        <f>"Febrero "&amp;$E$1</f>
        <v>Febrero 2023</v>
      </c>
      <c r="E14" s="5"/>
      <c r="F14" s="5"/>
      <c r="G14" s="5"/>
      <c r="H14" s="5"/>
      <c r="I14" s="5"/>
      <c r="J14" s="5"/>
      <c r="K14" s="5"/>
      <c r="L14" s="6" t="str">
        <f>"Agosto "&amp;$E$1</f>
        <v>Agosto 2023</v>
      </c>
      <c r="M14" s="5"/>
      <c r="N14" s="5"/>
      <c r="O14" s="5"/>
      <c r="R14">
        <v>6</v>
      </c>
      <c r="S14">
        <f>S13+31</f>
        <v>739052</v>
      </c>
      <c r="T14">
        <f t="shared" si="4"/>
        <v>4</v>
      </c>
    </row>
    <row r="15" spans="1:23" ht="16.5">
      <c r="A15" s="11" t="s">
        <v>170</v>
      </c>
      <c r="B15" s="12" t="s">
        <v>171</v>
      </c>
      <c r="C15" s="12" t="s">
        <v>172</v>
      </c>
      <c r="D15" s="12" t="s">
        <v>173</v>
      </c>
      <c r="E15" s="12" t="s">
        <v>174</v>
      </c>
      <c r="F15" s="12" t="s">
        <v>175</v>
      </c>
      <c r="G15" s="12" t="s">
        <v>176</v>
      </c>
      <c r="H15" s="12"/>
      <c r="I15" s="11" t="s">
        <v>170</v>
      </c>
      <c r="J15" s="12" t="s">
        <v>171</v>
      </c>
      <c r="K15" s="12" t="s">
        <v>172</v>
      </c>
      <c r="L15" s="12" t="s">
        <v>173</v>
      </c>
      <c r="M15" s="12" t="s">
        <v>174</v>
      </c>
      <c r="N15" s="12" t="s">
        <v>175</v>
      </c>
      <c r="O15" s="12" t="s">
        <v>176</v>
      </c>
      <c r="P15" s="7"/>
      <c r="Q15" s="7"/>
      <c r="R15">
        <v>7</v>
      </c>
      <c r="S15">
        <f>S14+30</f>
        <v>739082</v>
      </c>
      <c r="T15">
        <f t="shared" si="4"/>
        <v>6</v>
      </c>
      <c r="W15" s="7"/>
    </row>
    <row r="16" spans="1:23" ht="12.75">
      <c r="A16" s="13">
        <f>IF($T$10=A$2,1,"")</f>
      </c>
      <c r="B16" s="9">
        <f aca="true" t="shared" si="5" ref="B16:G16">IF($T$10=B$2,1,IF(A16&lt;&gt;"",A16+1,""))</f>
      </c>
      <c r="C16" s="9">
        <f t="shared" si="5"/>
        <v>1</v>
      </c>
      <c r="D16" s="9">
        <f t="shared" si="5"/>
        <v>2</v>
      </c>
      <c r="E16" s="9">
        <f t="shared" si="5"/>
        <v>3</v>
      </c>
      <c r="F16" s="9">
        <f t="shared" si="5"/>
        <v>4</v>
      </c>
      <c r="G16" s="9">
        <f t="shared" si="5"/>
        <v>5</v>
      </c>
      <c r="H16" s="9"/>
      <c r="I16" s="13">
        <f>IF($T$16=I$2,1,"")</f>
      </c>
      <c r="J16" s="9">
        <f aca="true" t="shared" si="6" ref="J16:O16">IF($T$16=J$2,1,IF(I16&lt;&gt;"",I16+1,""))</f>
        <v>1</v>
      </c>
      <c r="K16" s="9">
        <f t="shared" si="6"/>
        <v>2</v>
      </c>
      <c r="L16" s="9">
        <f t="shared" si="6"/>
        <v>3</v>
      </c>
      <c r="M16" s="9">
        <f t="shared" si="6"/>
        <v>4</v>
      </c>
      <c r="N16" s="9">
        <f t="shared" si="6"/>
        <v>5</v>
      </c>
      <c r="O16" s="9">
        <f t="shared" si="6"/>
        <v>6</v>
      </c>
      <c r="P16" s="3"/>
      <c r="Q16" s="3"/>
      <c r="R16">
        <v>8</v>
      </c>
      <c r="S16">
        <f>S15+31</f>
        <v>739113</v>
      </c>
      <c r="T16">
        <f t="shared" si="4"/>
        <v>2</v>
      </c>
      <c r="W16" s="3"/>
    </row>
    <row r="17" spans="1:20" ht="12.75">
      <c r="A17" s="8">
        <f>IF(G16="","",IF(G16&lt;IF($L$1=1,29,28),G16+1,""))</f>
        <v>6</v>
      </c>
      <c r="B17" s="5">
        <f aca="true" t="shared" si="7" ref="B17:G20">IF(A17="","",IF(A17&lt;IF($L$1=1,29,28),A17+1,""))</f>
        <v>7</v>
      </c>
      <c r="C17" s="5">
        <f t="shared" si="7"/>
        <v>8</v>
      </c>
      <c r="D17" s="5">
        <f t="shared" si="7"/>
        <v>9</v>
      </c>
      <c r="E17" s="5">
        <f t="shared" si="7"/>
        <v>10</v>
      </c>
      <c r="F17" s="5">
        <f t="shared" si="7"/>
        <v>11</v>
      </c>
      <c r="G17" s="5">
        <f t="shared" si="7"/>
        <v>12</v>
      </c>
      <c r="H17" s="5"/>
      <c r="I17" s="8">
        <f>IF(O16="","",IF(O16&lt;31,O16+1,""))</f>
        <v>7</v>
      </c>
      <c r="J17" s="5">
        <f aca="true" t="shared" si="8" ref="J17:O21">IF(I17="","",IF(I17&lt;31,I17+1,""))</f>
        <v>8</v>
      </c>
      <c r="K17" s="5">
        <f t="shared" si="8"/>
        <v>9</v>
      </c>
      <c r="L17" s="5">
        <f t="shared" si="8"/>
        <v>10</v>
      </c>
      <c r="M17" s="5">
        <f t="shared" si="8"/>
        <v>11</v>
      </c>
      <c r="N17" s="5">
        <f t="shared" si="8"/>
        <v>12</v>
      </c>
      <c r="O17" s="5">
        <f t="shared" si="8"/>
        <v>13</v>
      </c>
      <c r="R17">
        <v>9</v>
      </c>
      <c r="S17">
        <f>S16+31</f>
        <v>739144</v>
      </c>
      <c r="T17">
        <f t="shared" si="4"/>
        <v>5</v>
      </c>
    </row>
    <row r="18" spans="1:20" ht="12.75">
      <c r="A18" s="8">
        <f>IF(G17="","",IF(G17&lt;IF($L$1=1,29,28),G17+1,""))</f>
        <v>13</v>
      </c>
      <c r="B18" s="5">
        <f t="shared" si="7"/>
        <v>14</v>
      </c>
      <c r="C18" s="5">
        <f t="shared" si="7"/>
        <v>15</v>
      </c>
      <c r="D18" s="5">
        <f t="shared" si="7"/>
        <v>16</v>
      </c>
      <c r="E18" s="5">
        <f t="shared" si="7"/>
        <v>17</v>
      </c>
      <c r="F18" s="5">
        <f t="shared" si="7"/>
        <v>18</v>
      </c>
      <c r="G18" s="5">
        <f t="shared" si="7"/>
        <v>19</v>
      </c>
      <c r="H18" s="5"/>
      <c r="I18" s="8">
        <f>IF(O17="","",IF(O17&lt;31,O17+1,""))</f>
        <v>14</v>
      </c>
      <c r="J18" s="5">
        <f t="shared" si="8"/>
        <v>15</v>
      </c>
      <c r="K18" s="5">
        <f t="shared" si="8"/>
        <v>16</v>
      </c>
      <c r="L18" s="5">
        <f t="shared" si="8"/>
        <v>17</v>
      </c>
      <c r="M18" s="5">
        <f t="shared" si="8"/>
        <v>18</v>
      </c>
      <c r="N18" s="5">
        <f t="shared" si="8"/>
        <v>19</v>
      </c>
      <c r="O18" s="5">
        <f t="shared" si="8"/>
        <v>20</v>
      </c>
      <c r="R18">
        <v>10</v>
      </c>
      <c r="S18">
        <f>S17+30</f>
        <v>739174</v>
      </c>
      <c r="T18">
        <f t="shared" si="4"/>
        <v>7</v>
      </c>
    </row>
    <row r="19" spans="1:20" ht="12.75">
      <c r="A19" s="8">
        <f>IF(G18="","",IF(G18&lt;IF($L$1=1,29,28),G18+1,""))</f>
        <v>20</v>
      </c>
      <c r="B19" s="5">
        <f t="shared" si="7"/>
        <v>21</v>
      </c>
      <c r="C19" s="5">
        <f t="shared" si="7"/>
        <v>22</v>
      </c>
      <c r="D19" s="5">
        <f t="shared" si="7"/>
        <v>23</v>
      </c>
      <c r="E19" s="5">
        <f t="shared" si="7"/>
        <v>24</v>
      </c>
      <c r="F19" s="5">
        <f t="shared" si="7"/>
        <v>25</v>
      </c>
      <c r="G19" s="5">
        <f t="shared" si="7"/>
        <v>26</v>
      </c>
      <c r="H19" s="5"/>
      <c r="I19" s="8">
        <f>IF(O18="","",IF(O18&lt;31,O18+1,""))</f>
        <v>21</v>
      </c>
      <c r="J19" s="5">
        <f t="shared" si="8"/>
        <v>22</v>
      </c>
      <c r="K19" s="5">
        <f t="shared" si="8"/>
        <v>23</v>
      </c>
      <c r="L19" s="5">
        <f t="shared" si="8"/>
        <v>24</v>
      </c>
      <c r="M19" s="5">
        <f t="shared" si="8"/>
        <v>25</v>
      </c>
      <c r="N19" s="5">
        <f t="shared" si="8"/>
        <v>26</v>
      </c>
      <c r="O19" s="5">
        <f t="shared" si="8"/>
        <v>27</v>
      </c>
      <c r="R19">
        <v>11</v>
      </c>
      <c r="S19">
        <f>S18+31</f>
        <v>739205</v>
      </c>
      <c r="T19">
        <f t="shared" si="4"/>
        <v>3</v>
      </c>
    </row>
    <row r="20" spans="1:20" ht="12.75">
      <c r="A20" s="8">
        <f>IF(G19="","",IF(G19&lt;IF($L$1=1,29,28),G19+1,""))</f>
        <v>27</v>
      </c>
      <c r="B20" s="5">
        <f t="shared" si="7"/>
        <v>28</v>
      </c>
      <c r="C20" s="5">
        <f t="shared" si="7"/>
      </c>
      <c r="D20" s="5">
        <f t="shared" si="7"/>
      </c>
      <c r="E20" s="5">
        <f t="shared" si="7"/>
      </c>
      <c r="F20" s="5">
        <f t="shared" si="7"/>
      </c>
      <c r="G20" s="5">
        <f t="shared" si="7"/>
      </c>
      <c r="H20" s="5"/>
      <c r="I20" s="8">
        <f>IF(O19="","",IF(O19&lt;31,O19+1,""))</f>
        <v>28</v>
      </c>
      <c r="J20" s="5">
        <f t="shared" si="8"/>
        <v>29</v>
      </c>
      <c r="K20" s="5">
        <f t="shared" si="8"/>
        <v>30</v>
      </c>
      <c r="L20" s="5">
        <f t="shared" si="8"/>
        <v>31</v>
      </c>
      <c r="M20" s="5">
        <f t="shared" si="8"/>
      </c>
      <c r="N20" s="5">
        <f t="shared" si="8"/>
      </c>
      <c r="O20" s="5">
        <f t="shared" si="8"/>
      </c>
      <c r="R20">
        <v>12</v>
      </c>
      <c r="S20">
        <f>S19+30</f>
        <v>739235</v>
      </c>
      <c r="T20">
        <f t="shared" si="4"/>
        <v>5</v>
      </c>
    </row>
    <row r="21" spans="1:15" ht="12.75">
      <c r="A21" s="8">
        <f>IF(G20="","",IF(G20&lt;31,G20+1,""))</f>
      </c>
      <c r="B21" s="5">
        <f aca="true" t="shared" si="9" ref="B21:G21">IF(A21="","",IF(A21&lt;31,A21+1,""))</f>
      </c>
      <c r="C21" s="5">
        <f t="shared" si="9"/>
      </c>
      <c r="D21" s="5">
        <f t="shared" si="9"/>
      </c>
      <c r="E21" s="5">
        <f t="shared" si="9"/>
      </c>
      <c r="F21" s="5">
        <f t="shared" si="9"/>
      </c>
      <c r="G21" s="5">
        <f t="shared" si="9"/>
      </c>
      <c r="H21" s="5"/>
      <c r="I21" s="8">
        <f>IF(O20="","",IF(O20&lt;31,O20+1,""))</f>
      </c>
      <c r="J21" s="5">
        <f t="shared" si="8"/>
      </c>
      <c r="K21" s="5">
        <f t="shared" si="8"/>
      </c>
      <c r="L21" s="5">
        <f t="shared" si="8"/>
      </c>
      <c r="M21" s="5">
        <f t="shared" si="8"/>
      </c>
      <c r="N21" s="5">
        <f t="shared" si="8"/>
      </c>
      <c r="O21" s="5">
        <f t="shared" si="8"/>
      </c>
    </row>
    <row r="22" spans="1:15" ht="12.75">
      <c r="A22" s="8"/>
      <c r="B22" s="5"/>
      <c r="C22" s="5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6" t="str">
        <f>"Marzo "&amp;$E$1</f>
        <v>Marzo 2023</v>
      </c>
      <c r="E23" s="5"/>
      <c r="F23" s="5"/>
      <c r="G23" s="5"/>
      <c r="H23" s="5"/>
      <c r="I23" s="5"/>
      <c r="J23" s="5"/>
      <c r="K23" s="5"/>
      <c r="L23" s="6" t="str">
        <f>"Septiembre "&amp;$E$1</f>
        <v>Septiembre 2023</v>
      </c>
      <c r="M23" s="5"/>
      <c r="N23" s="5"/>
      <c r="O23" s="5"/>
    </row>
    <row r="24" spans="1:23" ht="16.5">
      <c r="A24" s="11" t="s">
        <v>170</v>
      </c>
      <c r="B24" s="12" t="s">
        <v>171</v>
      </c>
      <c r="C24" s="12" t="s">
        <v>172</v>
      </c>
      <c r="D24" s="12" t="s">
        <v>173</v>
      </c>
      <c r="E24" s="12" t="s">
        <v>174</v>
      </c>
      <c r="F24" s="12" t="s">
        <v>175</v>
      </c>
      <c r="G24" s="12" t="s">
        <v>176</v>
      </c>
      <c r="H24" s="12"/>
      <c r="I24" s="11" t="s">
        <v>170</v>
      </c>
      <c r="J24" s="12" t="s">
        <v>171</v>
      </c>
      <c r="K24" s="12" t="s">
        <v>172</v>
      </c>
      <c r="L24" s="12" t="s">
        <v>173</v>
      </c>
      <c r="M24" s="12" t="s">
        <v>174</v>
      </c>
      <c r="N24" s="12" t="s">
        <v>175</v>
      </c>
      <c r="O24" s="12" t="s">
        <v>176</v>
      </c>
      <c r="P24" s="7"/>
      <c r="Q24" s="7"/>
      <c r="R24" s="7"/>
      <c r="S24" s="7"/>
      <c r="T24" s="7"/>
      <c r="U24" s="7"/>
      <c r="V24" s="7"/>
      <c r="W24" s="7"/>
    </row>
    <row r="25" spans="1:23" ht="12.75">
      <c r="A25" s="13">
        <f>IF($T$11=A$2,1,"")</f>
      </c>
      <c r="B25" s="9">
        <f aca="true" t="shared" si="10" ref="B25:G25">IF($T$11=B$2,1,IF(A25&lt;&gt;"",A25+1,""))</f>
      </c>
      <c r="C25" s="9">
        <f t="shared" si="10"/>
        <v>1</v>
      </c>
      <c r="D25" s="9">
        <f t="shared" si="10"/>
        <v>2</v>
      </c>
      <c r="E25" s="9">
        <f t="shared" si="10"/>
        <v>3</v>
      </c>
      <c r="F25" s="9">
        <f t="shared" si="10"/>
        <v>4</v>
      </c>
      <c r="G25" s="9">
        <f t="shared" si="10"/>
        <v>5</v>
      </c>
      <c r="H25" s="9"/>
      <c r="I25" s="13">
        <f>IF($T$17=I$2,1,"")</f>
      </c>
      <c r="J25" s="9">
        <f aca="true" t="shared" si="11" ref="J25:O25">IF($T$17=J$2,1,IF(I25&lt;&gt;"",I25+1,""))</f>
      </c>
      <c r="K25" s="9">
        <f t="shared" si="11"/>
      </c>
      <c r="L25" s="9">
        <f t="shared" si="11"/>
      </c>
      <c r="M25" s="9">
        <f t="shared" si="11"/>
        <v>1</v>
      </c>
      <c r="N25" s="9">
        <f t="shared" si="11"/>
        <v>2</v>
      </c>
      <c r="O25" s="9">
        <f t="shared" si="11"/>
        <v>3</v>
      </c>
      <c r="P25" s="3"/>
      <c r="Q25" s="3"/>
      <c r="R25" s="3"/>
      <c r="S25" s="3"/>
      <c r="T25" s="3"/>
      <c r="U25" s="3"/>
      <c r="V25" s="3"/>
      <c r="W25" s="3"/>
    </row>
    <row r="26" spans="1:15" ht="12.75">
      <c r="A26" s="8">
        <f>IF(G25="","",IF(G25&lt;31,G25+1,""))</f>
        <v>6</v>
      </c>
      <c r="B26" s="5">
        <f aca="true" t="shared" si="12" ref="B26:G30">IF(A26="","",IF(A26&lt;31,A26+1,""))</f>
        <v>7</v>
      </c>
      <c r="C26" s="5">
        <f t="shared" si="12"/>
        <v>8</v>
      </c>
      <c r="D26" s="5">
        <f t="shared" si="12"/>
        <v>9</v>
      </c>
      <c r="E26" s="5">
        <f t="shared" si="12"/>
        <v>10</v>
      </c>
      <c r="F26" s="5">
        <f t="shared" si="12"/>
        <v>11</v>
      </c>
      <c r="G26" s="5">
        <f t="shared" si="12"/>
        <v>12</v>
      </c>
      <c r="H26" s="5"/>
      <c r="I26" s="8">
        <f>IF(O25="","",IF(O25&lt;30,O25+1,""))</f>
        <v>4</v>
      </c>
      <c r="J26" s="5">
        <f aca="true" t="shared" si="13" ref="J26:O30">IF(I26="","",IF(I26&lt;30,I26+1,""))</f>
        <v>5</v>
      </c>
      <c r="K26" s="5">
        <f t="shared" si="13"/>
        <v>6</v>
      </c>
      <c r="L26" s="5">
        <f t="shared" si="13"/>
        <v>7</v>
      </c>
      <c r="M26" s="5">
        <f t="shared" si="13"/>
        <v>8</v>
      </c>
      <c r="N26" s="5">
        <f t="shared" si="13"/>
        <v>9</v>
      </c>
      <c r="O26" s="5">
        <f t="shared" si="13"/>
        <v>10</v>
      </c>
    </row>
    <row r="27" spans="1:15" ht="12.75">
      <c r="A27" s="8">
        <f>IF(G26="","",IF(G26&lt;31,G26+1,""))</f>
        <v>13</v>
      </c>
      <c r="B27" s="5">
        <f t="shared" si="12"/>
        <v>14</v>
      </c>
      <c r="C27" s="5">
        <f t="shared" si="12"/>
        <v>15</v>
      </c>
      <c r="D27" s="5">
        <f t="shared" si="12"/>
        <v>16</v>
      </c>
      <c r="E27" s="5">
        <f t="shared" si="12"/>
        <v>17</v>
      </c>
      <c r="F27" s="5">
        <f t="shared" si="12"/>
        <v>18</v>
      </c>
      <c r="G27" s="5">
        <f t="shared" si="12"/>
        <v>19</v>
      </c>
      <c r="H27" s="5"/>
      <c r="I27" s="8">
        <f>IF(O26="","",IF(O26&lt;30,O26+1,""))</f>
        <v>11</v>
      </c>
      <c r="J27" s="5">
        <f t="shared" si="13"/>
        <v>12</v>
      </c>
      <c r="K27" s="5">
        <f t="shared" si="13"/>
        <v>13</v>
      </c>
      <c r="L27" s="5">
        <f t="shared" si="13"/>
        <v>14</v>
      </c>
      <c r="M27" s="5">
        <f t="shared" si="13"/>
        <v>15</v>
      </c>
      <c r="N27" s="5">
        <f t="shared" si="13"/>
        <v>16</v>
      </c>
      <c r="O27" s="5">
        <f t="shared" si="13"/>
        <v>17</v>
      </c>
    </row>
    <row r="28" spans="1:15" ht="12.75">
      <c r="A28" s="8">
        <f>IF(G27="","",IF(G27&lt;31,G27+1,""))</f>
        <v>20</v>
      </c>
      <c r="B28" s="5">
        <f t="shared" si="12"/>
        <v>21</v>
      </c>
      <c r="C28" s="5">
        <f t="shared" si="12"/>
        <v>22</v>
      </c>
      <c r="D28" s="5">
        <f t="shared" si="12"/>
        <v>23</v>
      </c>
      <c r="E28" s="5">
        <f t="shared" si="12"/>
        <v>24</v>
      </c>
      <c r="F28" s="5">
        <f t="shared" si="12"/>
        <v>25</v>
      </c>
      <c r="G28" s="5">
        <f t="shared" si="12"/>
        <v>26</v>
      </c>
      <c r="H28" s="5"/>
      <c r="I28" s="8">
        <f>IF(O27="","",IF(O27&lt;30,O27+1,""))</f>
        <v>18</v>
      </c>
      <c r="J28" s="5">
        <f t="shared" si="13"/>
        <v>19</v>
      </c>
      <c r="K28" s="5">
        <f t="shared" si="13"/>
        <v>20</v>
      </c>
      <c r="L28" s="5">
        <f t="shared" si="13"/>
        <v>21</v>
      </c>
      <c r="M28" s="5">
        <f t="shared" si="13"/>
        <v>22</v>
      </c>
      <c r="N28" s="5">
        <f t="shared" si="13"/>
        <v>23</v>
      </c>
      <c r="O28" s="5">
        <f t="shared" si="13"/>
        <v>24</v>
      </c>
    </row>
    <row r="29" spans="1:15" ht="12.75">
      <c r="A29" s="8">
        <f>IF(G28="","",IF(G28&lt;31,G28+1,""))</f>
        <v>27</v>
      </c>
      <c r="B29" s="5">
        <f t="shared" si="12"/>
        <v>28</v>
      </c>
      <c r="C29" s="5">
        <f t="shared" si="12"/>
        <v>29</v>
      </c>
      <c r="D29" s="5">
        <f t="shared" si="12"/>
        <v>30</v>
      </c>
      <c r="E29" s="5">
        <f t="shared" si="12"/>
        <v>31</v>
      </c>
      <c r="F29" s="5">
        <f t="shared" si="12"/>
      </c>
      <c r="G29" s="5">
        <f t="shared" si="12"/>
      </c>
      <c r="H29" s="5"/>
      <c r="I29" s="8">
        <f>IF(O28="","",IF(O28&lt;30,O28+1,""))</f>
        <v>25</v>
      </c>
      <c r="J29" s="5">
        <f t="shared" si="13"/>
        <v>26</v>
      </c>
      <c r="K29" s="5">
        <f t="shared" si="13"/>
        <v>27</v>
      </c>
      <c r="L29" s="5">
        <f t="shared" si="13"/>
        <v>28</v>
      </c>
      <c r="M29" s="5">
        <f t="shared" si="13"/>
        <v>29</v>
      </c>
      <c r="N29" s="5">
        <f t="shared" si="13"/>
        <v>30</v>
      </c>
      <c r="O29" s="5">
        <f t="shared" si="13"/>
      </c>
    </row>
    <row r="30" spans="1:15" ht="12.75">
      <c r="A30" s="8">
        <f>IF(G29="","",IF(G29&lt;31,G29+1,""))</f>
      </c>
      <c r="B30" s="5">
        <f t="shared" si="12"/>
      </c>
      <c r="C30" s="5">
        <f t="shared" si="12"/>
      </c>
      <c r="D30" s="5">
        <f t="shared" si="12"/>
      </c>
      <c r="E30" s="5">
        <f t="shared" si="12"/>
      </c>
      <c r="F30" s="5">
        <f t="shared" si="12"/>
      </c>
      <c r="G30" s="5">
        <f t="shared" si="12"/>
      </c>
      <c r="H30" s="5"/>
      <c r="I30" s="8">
        <f>IF(O29="","",IF(O29&lt;30,O29+1,""))</f>
      </c>
      <c r="J30" s="5">
        <f t="shared" si="13"/>
      </c>
      <c r="K30" s="5">
        <f t="shared" si="13"/>
      </c>
      <c r="L30" s="5">
        <f t="shared" si="13"/>
      </c>
      <c r="M30" s="5">
        <f t="shared" si="13"/>
      </c>
      <c r="N30" s="5">
        <f t="shared" si="13"/>
      </c>
      <c r="O30" s="5">
        <f t="shared" si="13"/>
      </c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6" t="str">
        <f>"Abril "&amp;$E$1</f>
        <v>Abril 2023</v>
      </c>
      <c r="E32" s="5"/>
      <c r="F32" s="5"/>
      <c r="G32" s="5"/>
      <c r="H32" s="5"/>
      <c r="I32" s="5"/>
      <c r="J32" s="5"/>
      <c r="K32" s="5"/>
      <c r="L32" s="6" t="str">
        <f>"Octubre "&amp;$E$1</f>
        <v>Octubre 2023</v>
      </c>
      <c r="M32" s="5"/>
      <c r="N32" s="5"/>
      <c r="O32" s="5"/>
    </row>
    <row r="33" spans="1:23" ht="16.5">
      <c r="A33" s="11" t="s">
        <v>170</v>
      </c>
      <c r="B33" s="12" t="s">
        <v>171</v>
      </c>
      <c r="C33" s="12" t="s">
        <v>172</v>
      </c>
      <c r="D33" s="12" t="s">
        <v>173</v>
      </c>
      <c r="E33" s="12" t="s">
        <v>174</v>
      </c>
      <c r="F33" s="12" t="s">
        <v>175</v>
      </c>
      <c r="G33" s="12" t="s">
        <v>176</v>
      </c>
      <c r="H33" s="12"/>
      <c r="I33" s="11" t="s">
        <v>170</v>
      </c>
      <c r="J33" s="12" t="s">
        <v>171</v>
      </c>
      <c r="K33" s="12" t="s">
        <v>172</v>
      </c>
      <c r="L33" s="12" t="s">
        <v>173</v>
      </c>
      <c r="M33" s="12" t="s">
        <v>174</v>
      </c>
      <c r="N33" s="12" t="s">
        <v>175</v>
      </c>
      <c r="O33" s="12" t="s">
        <v>176</v>
      </c>
      <c r="P33" s="7"/>
      <c r="Q33" s="7"/>
      <c r="R33" s="7"/>
      <c r="S33" s="7"/>
      <c r="T33" s="7"/>
      <c r="U33" s="7"/>
      <c r="V33" s="7"/>
      <c r="W33" s="7"/>
    </row>
    <row r="34" spans="1:23" ht="12.75">
      <c r="A34" s="13">
        <f>IF($T$12=A$2,1,"")</f>
      </c>
      <c r="B34" s="9">
        <f aca="true" t="shared" si="14" ref="B34:G34">IF($T$12=B$2,1,IF(A34&lt;&gt;"",A34+1,""))</f>
      </c>
      <c r="C34" s="9">
        <f t="shared" si="14"/>
      </c>
      <c r="D34" s="9">
        <f t="shared" si="14"/>
      </c>
      <c r="E34" s="9">
        <f t="shared" si="14"/>
      </c>
      <c r="F34" s="9">
        <f t="shared" si="14"/>
        <v>1</v>
      </c>
      <c r="G34" s="9">
        <f t="shared" si="14"/>
        <v>2</v>
      </c>
      <c r="H34" s="9"/>
      <c r="I34" s="13">
        <f>IF($T$18=I$2,1,"")</f>
      </c>
      <c r="J34" s="9">
        <f aca="true" t="shared" si="15" ref="J34:O34">IF($T$18=J$2,1,IF(I34&lt;&gt;"",I34+1,""))</f>
      </c>
      <c r="K34" s="9">
        <f t="shared" si="15"/>
      </c>
      <c r="L34" s="9">
        <f t="shared" si="15"/>
      </c>
      <c r="M34" s="9">
        <f t="shared" si="15"/>
      </c>
      <c r="N34" s="9">
        <f t="shared" si="15"/>
      </c>
      <c r="O34" s="9">
        <f t="shared" si="15"/>
        <v>1</v>
      </c>
      <c r="P34" s="3"/>
      <c r="Q34" s="3"/>
      <c r="R34" s="3"/>
      <c r="S34" s="3"/>
      <c r="T34" s="3"/>
      <c r="U34" s="3"/>
      <c r="V34" s="3"/>
      <c r="W34" s="3"/>
    </row>
    <row r="35" spans="1:15" ht="12.75">
      <c r="A35" s="8">
        <f>IF(G34="","",IF(G34&lt;30,G34+1,""))</f>
        <v>3</v>
      </c>
      <c r="B35" s="5">
        <f aca="true" t="shared" si="16" ref="B35:G39">IF(A35="","",IF(A35&lt;30,A35+1,""))</f>
        <v>4</v>
      </c>
      <c r="C35" s="5">
        <f t="shared" si="16"/>
        <v>5</v>
      </c>
      <c r="D35" s="5">
        <f t="shared" si="16"/>
        <v>6</v>
      </c>
      <c r="E35" s="5">
        <f t="shared" si="16"/>
        <v>7</v>
      </c>
      <c r="F35" s="5">
        <f t="shared" si="16"/>
        <v>8</v>
      </c>
      <c r="G35" s="5">
        <f t="shared" si="16"/>
        <v>9</v>
      </c>
      <c r="H35" s="5"/>
      <c r="I35" s="10">
        <f>IF(O34="","",IF(O34&lt;31,O34+1,""))</f>
        <v>2</v>
      </c>
      <c r="J35" s="5">
        <f aca="true" t="shared" si="17" ref="J35:O39">IF(I35="","",IF(I35&lt;31,I35+1,""))</f>
        <v>3</v>
      </c>
      <c r="K35" s="5">
        <f t="shared" si="17"/>
        <v>4</v>
      </c>
      <c r="L35" s="5">
        <f t="shared" si="17"/>
        <v>5</v>
      </c>
      <c r="M35" s="5">
        <f t="shared" si="17"/>
        <v>6</v>
      </c>
      <c r="N35" s="5">
        <f t="shared" si="17"/>
        <v>7</v>
      </c>
      <c r="O35" s="5">
        <f t="shared" si="17"/>
        <v>8</v>
      </c>
    </row>
    <row r="36" spans="1:15" ht="12.75">
      <c r="A36" s="8">
        <f>IF(G35="","",IF(G35&lt;30,G35+1,""))</f>
        <v>10</v>
      </c>
      <c r="B36" s="5">
        <f t="shared" si="16"/>
        <v>11</v>
      </c>
      <c r="C36" s="5">
        <f t="shared" si="16"/>
        <v>12</v>
      </c>
      <c r="D36" s="5">
        <f t="shared" si="16"/>
        <v>13</v>
      </c>
      <c r="E36" s="5">
        <f t="shared" si="16"/>
        <v>14</v>
      </c>
      <c r="F36" s="5">
        <f t="shared" si="16"/>
        <v>15</v>
      </c>
      <c r="G36" s="5">
        <f t="shared" si="16"/>
        <v>16</v>
      </c>
      <c r="H36" s="5"/>
      <c r="I36" s="10">
        <f>IF(O35="","",IF(O35&lt;31,O35+1,""))</f>
        <v>9</v>
      </c>
      <c r="J36" s="5">
        <f t="shared" si="17"/>
        <v>10</v>
      </c>
      <c r="K36" s="5">
        <f t="shared" si="17"/>
        <v>11</v>
      </c>
      <c r="L36" s="5">
        <f t="shared" si="17"/>
        <v>12</v>
      </c>
      <c r="M36" s="5">
        <f t="shared" si="17"/>
        <v>13</v>
      </c>
      <c r="N36" s="5">
        <f t="shared" si="17"/>
        <v>14</v>
      </c>
      <c r="O36" s="5">
        <f t="shared" si="17"/>
        <v>15</v>
      </c>
    </row>
    <row r="37" spans="1:15" ht="12.75">
      <c r="A37" s="8">
        <f>IF(G36="","",IF(G36&lt;30,G36+1,""))</f>
        <v>17</v>
      </c>
      <c r="B37" s="5">
        <f t="shared" si="16"/>
        <v>18</v>
      </c>
      <c r="C37" s="5">
        <f t="shared" si="16"/>
        <v>19</v>
      </c>
      <c r="D37" s="5">
        <f t="shared" si="16"/>
        <v>20</v>
      </c>
      <c r="E37" s="5">
        <f t="shared" si="16"/>
        <v>21</v>
      </c>
      <c r="F37" s="5">
        <f t="shared" si="16"/>
        <v>22</v>
      </c>
      <c r="G37" s="5">
        <f t="shared" si="16"/>
        <v>23</v>
      </c>
      <c r="H37" s="5"/>
      <c r="I37" s="10">
        <f>IF(O36="","",IF(O36&lt;31,O36+1,""))</f>
        <v>16</v>
      </c>
      <c r="J37" s="5">
        <f t="shared" si="17"/>
        <v>17</v>
      </c>
      <c r="K37" s="5">
        <f t="shared" si="17"/>
        <v>18</v>
      </c>
      <c r="L37" s="5">
        <f t="shared" si="17"/>
        <v>19</v>
      </c>
      <c r="M37" s="5">
        <f t="shared" si="17"/>
        <v>20</v>
      </c>
      <c r="N37" s="5">
        <f t="shared" si="17"/>
        <v>21</v>
      </c>
      <c r="O37" s="5">
        <f t="shared" si="17"/>
        <v>22</v>
      </c>
    </row>
    <row r="38" spans="1:15" ht="12.75">
      <c r="A38" s="8">
        <f>IF(G37="","",IF(G37&lt;30,G37+1,""))</f>
        <v>24</v>
      </c>
      <c r="B38" s="5">
        <f t="shared" si="16"/>
        <v>25</v>
      </c>
      <c r="C38" s="5">
        <f t="shared" si="16"/>
        <v>26</v>
      </c>
      <c r="D38" s="5">
        <f t="shared" si="16"/>
        <v>27</v>
      </c>
      <c r="E38" s="5">
        <f t="shared" si="16"/>
        <v>28</v>
      </c>
      <c r="F38" s="5">
        <f t="shared" si="16"/>
        <v>29</v>
      </c>
      <c r="G38" s="5">
        <f t="shared" si="16"/>
        <v>30</v>
      </c>
      <c r="H38" s="5"/>
      <c r="I38" s="10">
        <f>IF(O37="","",IF(O37&lt;31,O37+1,""))</f>
        <v>23</v>
      </c>
      <c r="J38" s="5">
        <f t="shared" si="17"/>
        <v>24</v>
      </c>
      <c r="K38" s="5">
        <f t="shared" si="17"/>
        <v>25</v>
      </c>
      <c r="L38" s="5">
        <f t="shared" si="17"/>
        <v>26</v>
      </c>
      <c r="M38" s="5">
        <f t="shared" si="17"/>
        <v>27</v>
      </c>
      <c r="N38" s="5">
        <f t="shared" si="17"/>
        <v>28</v>
      </c>
      <c r="O38" s="5">
        <f t="shared" si="17"/>
        <v>29</v>
      </c>
    </row>
    <row r="39" spans="1:15" ht="12.75">
      <c r="A39" s="8">
        <f>IF(G38="","",IF(G38&lt;30,G38+1,""))</f>
      </c>
      <c r="B39" s="5">
        <f t="shared" si="16"/>
      </c>
      <c r="C39" s="5">
        <f t="shared" si="16"/>
      </c>
      <c r="D39" s="5">
        <f t="shared" si="16"/>
      </c>
      <c r="E39" s="5">
        <f t="shared" si="16"/>
      </c>
      <c r="F39" s="5">
        <f t="shared" si="16"/>
      </c>
      <c r="G39" s="5">
        <f t="shared" si="16"/>
      </c>
      <c r="H39" s="5"/>
      <c r="I39" s="10">
        <f>IF(O38="","",IF(O38&lt;31,O38+1,""))</f>
        <v>30</v>
      </c>
      <c r="J39" s="5">
        <f t="shared" si="17"/>
        <v>31</v>
      </c>
      <c r="K39" s="5">
        <f t="shared" si="17"/>
      </c>
      <c r="L39" s="5">
        <f t="shared" si="17"/>
      </c>
      <c r="M39" s="5">
        <f t="shared" si="17"/>
      </c>
      <c r="N39" s="5">
        <f t="shared" si="17"/>
      </c>
      <c r="O39" s="5">
        <f t="shared" si="17"/>
      </c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6" t="str">
        <f>"Mayo "&amp;$E$1</f>
        <v>Mayo 2023</v>
      </c>
      <c r="E41" s="5"/>
      <c r="F41" s="5"/>
      <c r="G41" s="5"/>
      <c r="H41" s="5"/>
      <c r="I41" s="5"/>
      <c r="J41" s="5"/>
      <c r="K41" s="5"/>
      <c r="L41" s="6" t="str">
        <f>"Noviembre "&amp;$E$1</f>
        <v>Noviembre 2023</v>
      </c>
      <c r="M41" s="5"/>
      <c r="N41" s="5"/>
      <c r="O41" s="5"/>
    </row>
    <row r="42" spans="1:23" ht="16.5">
      <c r="A42" s="11" t="s">
        <v>170</v>
      </c>
      <c r="B42" s="12" t="s">
        <v>171</v>
      </c>
      <c r="C42" s="12" t="s">
        <v>172</v>
      </c>
      <c r="D42" s="12" t="s">
        <v>173</v>
      </c>
      <c r="E42" s="12" t="s">
        <v>174</v>
      </c>
      <c r="F42" s="12" t="s">
        <v>175</v>
      </c>
      <c r="G42" s="12" t="s">
        <v>176</v>
      </c>
      <c r="H42" s="12"/>
      <c r="I42" s="11" t="s">
        <v>170</v>
      </c>
      <c r="J42" s="12" t="s">
        <v>171</v>
      </c>
      <c r="K42" s="12" t="s">
        <v>172</v>
      </c>
      <c r="L42" s="12" t="s">
        <v>173</v>
      </c>
      <c r="M42" s="12" t="s">
        <v>174</v>
      </c>
      <c r="N42" s="12" t="s">
        <v>175</v>
      </c>
      <c r="O42" s="12" t="s">
        <v>176</v>
      </c>
      <c r="P42" s="7"/>
      <c r="Q42" s="7"/>
      <c r="R42" s="7"/>
      <c r="S42" s="7"/>
      <c r="T42" s="7"/>
      <c r="U42" s="7"/>
      <c r="V42" s="7"/>
      <c r="W42" s="7"/>
    </row>
    <row r="43" spans="1:23" ht="12.75">
      <c r="A43" s="13">
        <f>IF($T$13=A$2,1,"")</f>
        <v>1</v>
      </c>
      <c r="B43" s="9">
        <f aca="true" t="shared" si="18" ref="B43:G43">IF($T$13=B$2,1,IF(A43&lt;&gt;"",A43+1,""))</f>
        <v>2</v>
      </c>
      <c r="C43" s="9">
        <f t="shared" si="18"/>
        <v>3</v>
      </c>
      <c r="D43" s="9">
        <f t="shared" si="18"/>
        <v>4</v>
      </c>
      <c r="E43" s="9">
        <f t="shared" si="18"/>
        <v>5</v>
      </c>
      <c r="F43" s="9">
        <f t="shared" si="18"/>
        <v>6</v>
      </c>
      <c r="G43" s="9">
        <f t="shared" si="18"/>
        <v>7</v>
      </c>
      <c r="H43" s="9"/>
      <c r="I43" s="13">
        <f>IF($T$19=I$2,1,"")</f>
      </c>
      <c r="J43" s="9">
        <f aca="true" t="shared" si="19" ref="J43:O43">IF($T$19=J$2,1,IF(I43&lt;&gt;"",I43+1,""))</f>
      </c>
      <c r="K43" s="9">
        <f t="shared" si="19"/>
        <v>1</v>
      </c>
      <c r="L43" s="9">
        <f t="shared" si="19"/>
        <v>2</v>
      </c>
      <c r="M43" s="9">
        <f t="shared" si="19"/>
        <v>3</v>
      </c>
      <c r="N43" s="9">
        <f t="shared" si="19"/>
        <v>4</v>
      </c>
      <c r="O43" s="9">
        <f t="shared" si="19"/>
        <v>5</v>
      </c>
      <c r="P43" s="3"/>
      <c r="Q43" s="3"/>
      <c r="R43" s="3"/>
      <c r="S43" s="3"/>
      <c r="T43" s="3"/>
      <c r="U43" s="3"/>
      <c r="V43" s="3"/>
      <c r="W43" s="3"/>
    </row>
    <row r="44" spans="1:15" ht="12.75">
      <c r="A44" s="8">
        <f>IF(G43="","",IF(G43&lt;31,G43+1,""))</f>
        <v>8</v>
      </c>
      <c r="B44" s="5">
        <f aca="true" t="shared" si="20" ref="B44:G48">IF(A44="","",IF(A44&lt;31,A44+1,""))</f>
        <v>9</v>
      </c>
      <c r="C44" s="5">
        <f t="shared" si="20"/>
        <v>10</v>
      </c>
      <c r="D44" s="5">
        <f t="shared" si="20"/>
        <v>11</v>
      </c>
      <c r="E44" s="5">
        <f t="shared" si="20"/>
        <v>12</v>
      </c>
      <c r="F44" s="5">
        <f t="shared" si="20"/>
        <v>13</v>
      </c>
      <c r="G44" s="5">
        <f t="shared" si="20"/>
        <v>14</v>
      </c>
      <c r="H44" s="5"/>
      <c r="I44" s="10">
        <f>IF(O43="","",IF(O43&lt;30,O43+1,""))</f>
        <v>6</v>
      </c>
      <c r="J44" s="5">
        <f aca="true" t="shared" si="21" ref="J44:O48">IF(I44="","",IF(I44&lt;30,I44+1,""))</f>
        <v>7</v>
      </c>
      <c r="K44" s="5">
        <f t="shared" si="21"/>
        <v>8</v>
      </c>
      <c r="L44" s="5">
        <f t="shared" si="21"/>
        <v>9</v>
      </c>
      <c r="M44" s="5">
        <f t="shared" si="21"/>
        <v>10</v>
      </c>
      <c r="N44" s="5">
        <f t="shared" si="21"/>
        <v>11</v>
      </c>
      <c r="O44" s="5">
        <f t="shared" si="21"/>
        <v>12</v>
      </c>
    </row>
    <row r="45" spans="1:15" ht="12.75">
      <c r="A45" s="8">
        <f>IF(G44="","",IF(G44&lt;31,G44+1,""))</f>
        <v>15</v>
      </c>
      <c r="B45" s="5">
        <f t="shared" si="20"/>
        <v>16</v>
      </c>
      <c r="C45" s="5">
        <f t="shared" si="20"/>
        <v>17</v>
      </c>
      <c r="D45" s="5">
        <f t="shared" si="20"/>
        <v>18</v>
      </c>
      <c r="E45" s="5">
        <f t="shared" si="20"/>
        <v>19</v>
      </c>
      <c r="F45" s="5">
        <f t="shared" si="20"/>
        <v>20</v>
      </c>
      <c r="G45" s="5">
        <f t="shared" si="20"/>
        <v>21</v>
      </c>
      <c r="H45" s="5"/>
      <c r="I45" s="10">
        <f>IF(O44="","",IF(O44&lt;30,O44+1,""))</f>
        <v>13</v>
      </c>
      <c r="J45" s="5">
        <f t="shared" si="21"/>
        <v>14</v>
      </c>
      <c r="K45" s="5">
        <f t="shared" si="21"/>
        <v>15</v>
      </c>
      <c r="L45" s="5">
        <f t="shared" si="21"/>
        <v>16</v>
      </c>
      <c r="M45" s="5">
        <f t="shared" si="21"/>
        <v>17</v>
      </c>
      <c r="N45" s="5">
        <f t="shared" si="21"/>
        <v>18</v>
      </c>
      <c r="O45" s="5">
        <f t="shared" si="21"/>
        <v>19</v>
      </c>
    </row>
    <row r="46" spans="1:15" ht="12.75">
      <c r="A46" s="8">
        <f>IF(G45="","",IF(G45&lt;31,G45+1,""))</f>
        <v>22</v>
      </c>
      <c r="B46" s="5">
        <f t="shared" si="20"/>
        <v>23</v>
      </c>
      <c r="C46" s="5">
        <f t="shared" si="20"/>
        <v>24</v>
      </c>
      <c r="D46" s="5">
        <f t="shared" si="20"/>
        <v>25</v>
      </c>
      <c r="E46" s="5">
        <f t="shared" si="20"/>
        <v>26</v>
      </c>
      <c r="F46" s="5">
        <f t="shared" si="20"/>
        <v>27</v>
      </c>
      <c r="G46" s="5">
        <f t="shared" si="20"/>
        <v>28</v>
      </c>
      <c r="H46" s="5"/>
      <c r="I46" s="10">
        <f>IF(O45="","",IF(O45&lt;30,O45+1,""))</f>
        <v>20</v>
      </c>
      <c r="J46" s="5">
        <f t="shared" si="21"/>
        <v>21</v>
      </c>
      <c r="K46" s="5">
        <f t="shared" si="21"/>
        <v>22</v>
      </c>
      <c r="L46" s="5">
        <f t="shared" si="21"/>
        <v>23</v>
      </c>
      <c r="M46" s="5">
        <f t="shared" si="21"/>
        <v>24</v>
      </c>
      <c r="N46" s="5">
        <f t="shared" si="21"/>
        <v>25</v>
      </c>
      <c r="O46" s="5">
        <f t="shared" si="21"/>
        <v>26</v>
      </c>
    </row>
    <row r="47" spans="1:15" ht="12.75">
      <c r="A47" s="8">
        <f>IF(G46="","",IF(G46&lt;31,G46+1,""))</f>
        <v>29</v>
      </c>
      <c r="B47" s="5">
        <f t="shared" si="20"/>
        <v>30</v>
      </c>
      <c r="C47" s="5">
        <f t="shared" si="20"/>
        <v>31</v>
      </c>
      <c r="D47" s="5">
        <f t="shared" si="20"/>
      </c>
      <c r="E47" s="5">
        <f t="shared" si="20"/>
      </c>
      <c r="F47" s="5">
        <f t="shared" si="20"/>
      </c>
      <c r="G47" s="5">
        <f t="shared" si="20"/>
      </c>
      <c r="H47" s="5"/>
      <c r="I47" s="10">
        <f>IF(O46="","",IF(O46&lt;30,O46+1,""))</f>
        <v>27</v>
      </c>
      <c r="J47" s="5">
        <f t="shared" si="21"/>
        <v>28</v>
      </c>
      <c r="K47" s="5">
        <f t="shared" si="21"/>
        <v>29</v>
      </c>
      <c r="L47" s="5">
        <f t="shared" si="21"/>
        <v>30</v>
      </c>
      <c r="M47" s="5">
        <f t="shared" si="21"/>
      </c>
      <c r="N47" s="5">
        <f t="shared" si="21"/>
      </c>
      <c r="O47" s="5">
        <f t="shared" si="21"/>
      </c>
    </row>
    <row r="48" spans="1:15" ht="12.75">
      <c r="A48" s="8">
        <f>IF(G47="","",IF(G47&lt;31,G47+1,""))</f>
      </c>
      <c r="B48" s="5">
        <f t="shared" si="20"/>
      </c>
      <c r="C48" s="5">
        <f t="shared" si="20"/>
      </c>
      <c r="D48" s="5">
        <f t="shared" si="20"/>
      </c>
      <c r="E48" s="5">
        <f t="shared" si="20"/>
      </c>
      <c r="F48" s="5">
        <f t="shared" si="20"/>
      </c>
      <c r="G48" s="5">
        <f t="shared" si="20"/>
      </c>
      <c r="H48" s="5"/>
      <c r="I48" s="10">
        <f>IF(O47="","",IF(O47&lt;30,O47+1,""))</f>
      </c>
      <c r="J48" s="5">
        <f t="shared" si="21"/>
      </c>
      <c r="K48" s="5">
        <f t="shared" si="21"/>
      </c>
      <c r="L48" s="5">
        <f t="shared" si="21"/>
      </c>
      <c r="M48" s="5">
        <f t="shared" si="21"/>
      </c>
      <c r="N48" s="5">
        <f t="shared" si="21"/>
      </c>
      <c r="O48" s="5">
        <f t="shared" si="21"/>
      </c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6" t="str">
        <f>"Junio "&amp;$E$1</f>
        <v>Junio 2023</v>
      </c>
      <c r="E50" s="5"/>
      <c r="F50" s="5"/>
      <c r="G50" s="5"/>
      <c r="H50" s="5"/>
      <c r="I50" s="5"/>
      <c r="J50" s="5"/>
      <c r="K50" s="5"/>
      <c r="L50" s="6" t="str">
        <f>"Diciembre "&amp;$E$1</f>
        <v>Diciembre 2023</v>
      </c>
      <c r="M50" s="5"/>
      <c r="N50" s="5"/>
      <c r="O50" s="5"/>
    </row>
    <row r="51" spans="1:23" ht="16.5">
      <c r="A51" s="11" t="s">
        <v>170</v>
      </c>
      <c r="B51" s="12" t="s">
        <v>171</v>
      </c>
      <c r="C51" s="12" t="s">
        <v>172</v>
      </c>
      <c r="D51" s="12" t="s">
        <v>173</v>
      </c>
      <c r="E51" s="12" t="s">
        <v>174</v>
      </c>
      <c r="F51" s="12" t="s">
        <v>175</v>
      </c>
      <c r="G51" s="12" t="s">
        <v>176</v>
      </c>
      <c r="H51" s="12"/>
      <c r="I51" s="11" t="s">
        <v>170</v>
      </c>
      <c r="J51" s="12" t="s">
        <v>171</v>
      </c>
      <c r="K51" s="12" t="s">
        <v>172</v>
      </c>
      <c r="L51" s="12" t="s">
        <v>173</v>
      </c>
      <c r="M51" s="12" t="s">
        <v>174</v>
      </c>
      <c r="N51" s="12" t="s">
        <v>175</v>
      </c>
      <c r="O51" s="12" t="s">
        <v>176</v>
      </c>
      <c r="P51" s="7"/>
      <c r="Q51" s="7"/>
      <c r="R51" s="7"/>
      <c r="S51" s="7"/>
      <c r="T51" s="7"/>
      <c r="U51" s="7"/>
      <c r="V51" s="7"/>
      <c r="W51" s="7"/>
    </row>
    <row r="52" spans="1:23" ht="12.75">
      <c r="A52" s="13">
        <f>IF($T$14=A$2,1,"")</f>
      </c>
      <c r="B52" s="9">
        <f aca="true" t="shared" si="22" ref="B52:G52">IF($T$14=B$2,1,IF(A52&lt;&gt;"",A52+1,""))</f>
      </c>
      <c r="C52" s="9">
        <f t="shared" si="22"/>
      </c>
      <c r="D52" s="9">
        <f t="shared" si="22"/>
        <v>1</v>
      </c>
      <c r="E52" s="9">
        <f t="shared" si="22"/>
        <v>2</v>
      </c>
      <c r="F52" s="9">
        <f t="shared" si="22"/>
        <v>3</v>
      </c>
      <c r="G52" s="9">
        <f t="shared" si="22"/>
        <v>4</v>
      </c>
      <c r="H52" s="9"/>
      <c r="I52" s="13">
        <f>IF($T$20=I$2,1,"")</f>
      </c>
      <c r="J52" s="5">
        <f aca="true" t="shared" si="23" ref="J52:O52">IF($T$20=J$2,1,IF(I52&lt;&gt;"",I52+1,""))</f>
      </c>
      <c r="K52" s="5">
        <f t="shared" si="23"/>
      </c>
      <c r="L52" s="5">
        <f t="shared" si="23"/>
      </c>
      <c r="M52" s="5">
        <f t="shared" si="23"/>
        <v>1</v>
      </c>
      <c r="N52" s="5">
        <f t="shared" si="23"/>
        <v>2</v>
      </c>
      <c r="O52" s="5">
        <f t="shared" si="23"/>
        <v>3</v>
      </c>
      <c r="P52" s="3"/>
      <c r="Q52" s="3"/>
      <c r="R52" s="3"/>
      <c r="S52" s="3"/>
      <c r="T52" s="3"/>
      <c r="U52" s="3"/>
      <c r="V52" s="3"/>
      <c r="W52" s="3"/>
    </row>
    <row r="53" spans="1:15" ht="12.75">
      <c r="A53" s="8">
        <f>IF(G52="","",IF(G52&lt;30,G52+1,""))</f>
        <v>5</v>
      </c>
      <c r="B53" s="9">
        <f aca="true" t="shared" si="24" ref="B53:G57">IF(A53="","",IF(A53&lt;30,A53+1,""))</f>
        <v>6</v>
      </c>
      <c r="C53" s="9">
        <f t="shared" si="24"/>
        <v>7</v>
      </c>
      <c r="D53" s="9">
        <f t="shared" si="24"/>
        <v>8</v>
      </c>
      <c r="E53" s="9">
        <f t="shared" si="24"/>
        <v>9</v>
      </c>
      <c r="F53" s="9">
        <f t="shared" si="24"/>
        <v>10</v>
      </c>
      <c r="G53" s="9">
        <f t="shared" si="24"/>
        <v>11</v>
      </c>
      <c r="H53" s="5"/>
      <c r="I53" s="10">
        <f>IF(O52="","",IF(O52&lt;31,O52+1,""))</f>
        <v>4</v>
      </c>
      <c r="J53" s="5">
        <f aca="true" t="shared" si="25" ref="J53:O57">IF(I53="","",IF(I53&lt;31,I53+1,""))</f>
        <v>5</v>
      </c>
      <c r="K53" s="5">
        <f t="shared" si="25"/>
        <v>6</v>
      </c>
      <c r="L53" s="5">
        <f t="shared" si="25"/>
        <v>7</v>
      </c>
      <c r="M53" s="5">
        <f t="shared" si="25"/>
        <v>8</v>
      </c>
      <c r="N53" s="5">
        <f t="shared" si="25"/>
        <v>9</v>
      </c>
      <c r="O53" s="5">
        <f t="shared" si="25"/>
        <v>10</v>
      </c>
    </row>
    <row r="54" spans="1:15" ht="12.75">
      <c r="A54" s="8">
        <f>IF(G53="","",IF(G53&lt;30,G53+1,""))</f>
        <v>12</v>
      </c>
      <c r="B54" s="9">
        <f t="shared" si="24"/>
        <v>13</v>
      </c>
      <c r="C54" s="9">
        <f t="shared" si="24"/>
        <v>14</v>
      </c>
      <c r="D54" s="9">
        <f t="shared" si="24"/>
        <v>15</v>
      </c>
      <c r="E54" s="9">
        <f t="shared" si="24"/>
        <v>16</v>
      </c>
      <c r="F54" s="9">
        <f t="shared" si="24"/>
        <v>17</v>
      </c>
      <c r="G54" s="9">
        <f t="shared" si="24"/>
        <v>18</v>
      </c>
      <c r="H54" s="5"/>
      <c r="I54" s="10">
        <f>IF(O53="","",IF(O53&lt;31,O53+1,""))</f>
        <v>11</v>
      </c>
      <c r="J54" s="5">
        <f t="shared" si="25"/>
        <v>12</v>
      </c>
      <c r="K54" s="5">
        <f t="shared" si="25"/>
        <v>13</v>
      </c>
      <c r="L54" s="5">
        <f t="shared" si="25"/>
        <v>14</v>
      </c>
      <c r="M54" s="5">
        <f t="shared" si="25"/>
        <v>15</v>
      </c>
      <c r="N54" s="5">
        <f t="shared" si="25"/>
        <v>16</v>
      </c>
      <c r="O54" s="5">
        <f t="shared" si="25"/>
        <v>17</v>
      </c>
    </row>
    <row r="55" spans="1:15" ht="12.75">
      <c r="A55" s="8">
        <f>IF(G54="","",IF(G54&lt;30,G54+1,""))</f>
        <v>19</v>
      </c>
      <c r="B55" s="9">
        <f t="shared" si="24"/>
        <v>20</v>
      </c>
      <c r="C55" s="9">
        <f t="shared" si="24"/>
        <v>21</v>
      </c>
      <c r="D55" s="9">
        <f t="shared" si="24"/>
        <v>22</v>
      </c>
      <c r="E55" s="9">
        <f t="shared" si="24"/>
        <v>23</v>
      </c>
      <c r="F55" s="9">
        <f t="shared" si="24"/>
        <v>24</v>
      </c>
      <c r="G55" s="9">
        <f t="shared" si="24"/>
        <v>25</v>
      </c>
      <c r="H55" s="5"/>
      <c r="I55" s="10">
        <f>IF(O54="","",IF(O54&lt;31,O54+1,""))</f>
        <v>18</v>
      </c>
      <c r="J55" s="5">
        <f t="shared" si="25"/>
        <v>19</v>
      </c>
      <c r="K55" s="5">
        <f t="shared" si="25"/>
        <v>20</v>
      </c>
      <c r="L55" s="5">
        <f t="shared" si="25"/>
        <v>21</v>
      </c>
      <c r="M55" s="5">
        <f t="shared" si="25"/>
        <v>22</v>
      </c>
      <c r="N55" s="5">
        <f t="shared" si="25"/>
        <v>23</v>
      </c>
      <c r="O55" s="5">
        <f t="shared" si="25"/>
        <v>24</v>
      </c>
    </row>
    <row r="56" spans="1:15" ht="12.75">
      <c r="A56" s="8">
        <f>IF(G55="","",IF(G55&lt;30,G55+1,""))</f>
        <v>26</v>
      </c>
      <c r="B56" s="9">
        <f t="shared" si="24"/>
        <v>27</v>
      </c>
      <c r="C56" s="9">
        <f t="shared" si="24"/>
        <v>28</v>
      </c>
      <c r="D56" s="9">
        <f t="shared" si="24"/>
        <v>29</v>
      </c>
      <c r="E56" s="9">
        <f t="shared" si="24"/>
        <v>30</v>
      </c>
      <c r="F56" s="9">
        <f t="shared" si="24"/>
      </c>
      <c r="G56" s="9">
        <f t="shared" si="24"/>
      </c>
      <c r="H56" s="5"/>
      <c r="I56" s="10">
        <f>IF(O55="","",IF(O55&lt;31,O55+1,""))</f>
        <v>25</v>
      </c>
      <c r="J56" s="5">
        <f t="shared" si="25"/>
        <v>26</v>
      </c>
      <c r="K56" s="5">
        <f t="shared" si="25"/>
        <v>27</v>
      </c>
      <c r="L56" s="5">
        <f t="shared" si="25"/>
        <v>28</v>
      </c>
      <c r="M56" s="5">
        <f t="shared" si="25"/>
        <v>29</v>
      </c>
      <c r="N56" s="5">
        <f t="shared" si="25"/>
        <v>30</v>
      </c>
      <c r="O56" s="5">
        <f t="shared" si="25"/>
        <v>31</v>
      </c>
    </row>
    <row r="57" spans="1:15" ht="12.75">
      <c r="A57" s="8">
        <f>IF(G56="","",IF(G56&lt;30,G56+1,""))</f>
      </c>
      <c r="B57" s="5">
        <f t="shared" si="24"/>
      </c>
      <c r="C57" s="5">
        <f t="shared" si="24"/>
      </c>
      <c r="D57" s="5">
        <f t="shared" si="24"/>
      </c>
      <c r="E57" s="5">
        <f t="shared" si="24"/>
      </c>
      <c r="F57" s="5">
        <f t="shared" si="24"/>
      </c>
      <c r="G57" s="5">
        <f t="shared" si="24"/>
      </c>
      <c r="H57" s="5"/>
      <c r="I57" s="10">
        <f>IF(O56="","",IF(O56&lt;31,O56+1,""))</f>
      </c>
      <c r="J57" s="5">
        <f t="shared" si="25"/>
      </c>
      <c r="K57" s="5">
        <f t="shared" si="25"/>
      </c>
      <c r="L57" s="5">
        <f t="shared" si="25"/>
      </c>
      <c r="M57" s="5">
        <f t="shared" si="25"/>
      </c>
      <c r="N57" s="5">
        <f t="shared" si="25"/>
      </c>
      <c r="O57" s="5">
        <f t="shared" si="25"/>
      </c>
    </row>
    <row r="59" spans="1:9" ht="14.25">
      <c r="A59" s="17">
        <f>IF(E1&lt;1583,"Pascua: "&amp;IF(T3+T4&lt;=9,22+T3+T4,T3+T4-9)&amp;" de "&amp;IF(T3+T4&lt;=9,"marzo","abril"),"")</f>
      </c>
      <c r="B59" s="9"/>
      <c r="C59" s="3"/>
      <c r="I59" s="18"/>
    </row>
    <row r="60" ht="14.25">
      <c r="I60" s="19"/>
    </row>
    <row r="61" ht="12.75">
      <c r="A61" s="15" t="s">
        <v>226</v>
      </c>
    </row>
    <row r="62" ht="12.75">
      <c r="A62" t="s">
        <v>228</v>
      </c>
    </row>
    <row r="63" ht="12.75">
      <c r="A63" t="s">
        <v>227</v>
      </c>
    </row>
    <row r="64" ht="12.75">
      <c r="A64" t="str">
        <f>IF($E$1=1582,"En 1582 el papa Gregorio XIII corrigió el calendario juliano disponiendo que al jueves 4/10 siguiese el viernes 15/10.",IF($E$1&gt;1582,"En los países católicos dejó de regir el calendario juliano después de la reforma del papa Gregorio XIII de 1582.",""))</f>
        <v>En los países católicos dejó de regir el calendario juliano después de la reforma del papa Gregorio XIII de 1582.</v>
      </c>
    </row>
  </sheetData>
  <sheetProtection sheet="1"/>
  <conditionalFormatting sqref="B36:G36">
    <cfRule type="cellIs" priority="1" dxfId="12" operator="equal" stopIfTrue="1">
      <formula>25</formula>
    </cfRule>
  </conditionalFormatting>
  <printOptions/>
  <pageMargins left="0.7874015748031497" right="0.7874015748031497" top="1.1811023622047245" bottom="0.7874015748031497" header="0" footer="0"/>
  <pageSetup fitToHeight="1" fitToWidth="1" horizontalDpi="120" verticalDpi="12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7" width="7.7109375" style="0" customWidth="1"/>
    <col min="8" max="8" width="8.7109375" style="0" customWidth="1"/>
    <col min="9" max="15" width="7.7109375" style="0" customWidth="1"/>
  </cols>
  <sheetData>
    <row r="1" spans="1:11" ht="12.75">
      <c r="A1" s="2" t="s">
        <v>1294</v>
      </c>
      <c r="E1" s="46"/>
      <c r="G1" s="1"/>
      <c r="H1" s="15"/>
      <c r="J1" s="1"/>
      <c r="K1" s="3"/>
    </row>
    <row r="2" spans="1:15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3" ht="12.75">
      <c r="A3" s="5"/>
      <c r="C3" s="4"/>
    </row>
    <row r="4" spans="1:8" ht="20.25">
      <c r="A4" s="13"/>
      <c r="D4" s="13"/>
      <c r="H4" s="14" t="s">
        <v>2159</v>
      </c>
    </row>
    <row r="5" spans="1:15" ht="12.75">
      <c r="A5" s="5"/>
      <c r="B5" s="5"/>
      <c r="C5" s="5"/>
      <c r="D5" s="6" t="s">
        <v>1025</v>
      </c>
      <c r="E5" s="5"/>
      <c r="F5" s="5"/>
      <c r="G5" s="5"/>
      <c r="H5" s="5"/>
      <c r="I5" s="5"/>
      <c r="J5" s="5"/>
      <c r="K5" s="5"/>
      <c r="L5" s="6" t="s">
        <v>1026</v>
      </c>
      <c r="M5" s="5"/>
      <c r="N5" s="5"/>
      <c r="O5" s="5"/>
    </row>
    <row r="6" spans="1:15" ht="16.5">
      <c r="A6" s="11" t="s">
        <v>170</v>
      </c>
      <c r="B6" s="12" t="s">
        <v>171</v>
      </c>
      <c r="C6" s="12" t="s">
        <v>172</v>
      </c>
      <c r="D6" s="12" t="s">
        <v>173</v>
      </c>
      <c r="E6" s="12" t="s">
        <v>174</v>
      </c>
      <c r="F6" s="12" t="s">
        <v>175</v>
      </c>
      <c r="G6" s="12" t="s">
        <v>176</v>
      </c>
      <c r="H6" s="12"/>
      <c r="I6" s="11" t="s">
        <v>170</v>
      </c>
      <c r="J6" s="12" t="s">
        <v>171</v>
      </c>
      <c r="K6" s="12" t="s">
        <v>172</v>
      </c>
      <c r="L6" s="12" t="s">
        <v>173</v>
      </c>
      <c r="M6" s="12" t="s">
        <v>174</v>
      </c>
      <c r="N6" s="12" t="s">
        <v>175</v>
      </c>
      <c r="O6" s="12" t="s">
        <v>176</v>
      </c>
    </row>
    <row r="7" spans="1:15" ht="12.75">
      <c r="A7" s="13" t="s">
        <v>1024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/>
      <c r="I7" s="13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</row>
    <row r="8" spans="1:15" ht="12.75">
      <c r="A8" s="8">
        <v>7</v>
      </c>
      <c r="B8" s="5">
        <v>8</v>
      </c>
      <c r="C8" s="5">
        <v>9</v>
      </c>
      <c r="D8" s="5">
        <v>10</v>
      </c>
      <c r="E8" s="5">
        <v>11</v>
      </c>
      <c r="F8" s="5">
        <v>12</v>
      </c>
      <c r="G8" s="5">
        <v>13</v>
      </c>
      <c r="H8" s="5"/>
      <c r="I8" s="10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</row>
    <row r="9" spans="1:15" ht="12.75">
      <c r="A9" s="8">
        <v>14</v>
      </c>
      <c r="B9" s="5">
        <v>15</v>
      </c>
      <c r="C9" s="5">
        <v>16</v>
      </c>
      <c r="D9" s="5">
        <v>17</v>
      </c>
      <c r="E9" s="5">
        <v>18</v>
      </c>
      <c r="F9" s="5">
        <v>19</v>
      </c>
      <c r="G9" s="5">
        <v>20</v>
      </c>
      <c r="H9" s="5"/>
      <c r="I9" s="10">
        <v>15</v>
      </c>
      <c r="J9" s="5">
        <v>16</v>
      </c>
      <c r="K9" s="5">
        <v>17</v>
      </c>
      <c r="L9" s="5">
        <v>18</v>
      </c>
      <c r="M9" s="5">
        <v>19</v>
      </c>
      <c r="N9" s="5">
        <v>20</v>
      </c>
      <c r="O9" s="5">
        <v>21</v>
      </c>
    </row>
    <row r="10" spans="1:15" ht="12.75">
      <c r="A10" s="8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/>
      <c r="I10" s="10">
        <v>22</v>
      </c>
      <c r="J10" s="5">
        <v>23</v>
      </c>
      <c r="K10" s="5">
        <v>24</v>
      </c>
      <c r="L10" s="5">
        <v>25</v>
      </c>
      <c r="M10" s="5">
        <v>26</v>
      </c>
      <c r="N10" s="5">
        <v>27</v>
      </c>
      <c r="O10" s="5">
        <v>28</v>
      </c>
    </row>
    <row r="11" spans="1:15" ht="12.75">
      <c r="A11" s="8">
        <v>28</v>
      </c>
      <c r="B11" s="5">
        <v>29</v>
      </c>
      <c r="C11" s="5">
        <v>30</v>
      </c>
      <c r="D11" s="5">
        <v>31</v>
      </c>
      <c r="E11" s="5" t="s">
        <v>1024</v>
      </c>
      <c r="F11" s="5" t="s">
        <v>1024</v>
      </c>
      <c r="G11" s="5" t="s">
        <v>1024</v>
      </c>
      <c r="H11" s="5"/>
      <c r="I11" s="10">
        <v>29</v>
      </c>
      <c r="J11" s="5">
        <v>30</v>
      </c>
      <c r="K11" s="5">
        <v>31</v>
      </c>
      <c r="L11" s="5" t="s">
        <v>1024</v>
      </c>
      <c r="M11" s="5" t="s">
        <v>1024</v>
      </c>
      <c r="N11" s="5" t="s">
        <v>1024</v>
      </c>
      <c r="O11" s="5" t="s">
        <v>1024</v>
      </c>
    </row>
    <row r="12" spans="1:15" ht="12.75">
      <c r="A12" s="8" t="s">
        <v>1024</v>
      </c>
      <c r="B12" s="5" t="s">
        <v>1024</v>
      </c>
      <c r="C12" s="5" t="s">
        <v>1024</v>
      </c>
      <c r="D12" s="5" t="s">
        <v>1024</v>
      </c>
      <c r="E12" s="5" t="s">
        <v>1024</v>
      </c>
      <c r="F12" s="5" t="s">
        <v>1024</v>
      </c>
      <c r="G12" s="5" t="s">
        <v>1024</v>
      </c>
      <c r="H12" s="5"/>
      <c r="I12" s="10" t="s">
        <v>1024</v>
      </c>
      <c r="J12" s="5" t="s">
        <v>1024</v>
      </c>
      <c r="K12" s="5" t="s">
        <v>1024</v>
      </c>
      <c r="L12" s="5" t="s">
        <v>1024</v>
      </c>
      <c r="M12" s="5" t="s">
        <v>1024</v>
      </c>
      <c r="N12" s="5" t="s">
        <v>1024</v>
      </c>
      <c r="O12" s="5" t="s">
        <v>1024</v>
      </c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6" t="s">
        <v>1027</v>
      </c>
      <c r="E14" s="5"/>
      <c r="F14" s="5"/>
      <c r="G14" s="5"/>
      <c r="H14" s="5"/>
      <c r="I14" s="5"/>
      <c r="J14" s="5"/>
      <c r="K14" s="5"/>
      <c r="L14" s="6" t="s">
        <v>1028</v>
      </c>
      <c r="M14" s="5"/>
      <c r="N14" s="5"/>
      <c r="O14" s="5"/>
    </row>
    <row r="15" spans="1:15" ht="16.5">
      <c r="A15" s="11" t="s">
        <v>170</v>
      </c>
      <c r="B15" s="12" t="s">
        <v>171</v>
      </c>
      <c r="C15" s="12" t="s">
        <v>172</v>
      </c>
      <c r="D15" s="12" t="s">
        <v>173</v>
      </c>
      <c r="E15" s="12" t="s">
        <v>174</v>
      </c>
      <c r="F15" s="12" t="s">
        <v>175</v>
      </c>
      <c r="G15" s="12" t="s">
        <v>176</v>
      </c>
      <c r="H15" s="12"/>
      <c r="I15" s="11" t="s">
        <v>170</v>
      </c>
      <c r="J15" s="12" t="s">
        <v>171</v>
      </c>
      <c r="K15" s="12" t="s">
        <v>172</v>
      </c>
      <c r="L15" s="12" t="s">
        <v>173</v>
      </c>
      <c r="M15" s="12" t="s">
        <v>174</v>
      </c>
      <c r="N15" s="12" t="s">
        <v>175</v>
      </c>
      <c r="O15" s="12" t="s">
        <v>176</v>
      </c>
    </row>
    <row r="16" spans="1:15" ht="12.75">
      <c r="A16" s="13" t="s">
        <v>1024</v>
      </c>
      <c r="B16" s="9" t="s">
        <v>1024</v>
      </c>
      <c r="C16" s="9" t="s">
        <v>1024</v>
      </c>
      <c r="D16" s="9" t="s">
        <v>1024</v>
      </c>
      <c r="E16" s="9">
        <v>1</v>
      </c>
      <c r="F16" s="9">
        <v>2</v>
      </c>
      <c r="G16" s="9">
        <v>3</v>
      </c>
      <c r="H16" s="9"/>
      <c r="I16" s="13" t="s">
        <v>1024</v>
      </c>
      <c r="J16" s="9" t="s">
        <v>1024</v>
      </c>
      <c r="K16" s="9" t="s">
        <v>1024</v>
      </c>
      <c r="L16" s="9">
        <v>1</v>
      </c>
      <c r="M16" s="9">
        <v>2</v>
      </c>
      <c r="N16" s="9">
        <v>3</v>
      </c>
      <c r="O16" s="9">
        <v>4</v>
      </c>
    </row>
    <row r="17" spans="1:15" ht="12.75">
      <c r="A17" s="8">
        <v>4</v>
      </c>
      <c r="B17" s="5">
        <v>5</v>
      </c>
      <c r="C17" s="5">
        <v>6</v>
      </c>
      <c r="D17" s="5">
        <v>7</v>
      </c>
      <c r="E17" s="5">
        <v>8</v>
      </c>
      <c r="F17" s="5">
        <v>9</v>
      </c>
      <c r="G17" s="5">
        <v>10</v>
      </c>
      <c r="H17" s="5"/>
      <c r="I17" s="8">
        <v>5</v>
      </c>
      <c r="J17" s="5">
        <v>6</v>
      </c>
      <c r="K17" s="5">
        <v>7</v>
      </c>
      <c r="L17" s="5">
        <v>8</v>
      </c>
      <c r="M17" s="5">
        <v>9</v>
      </c>
      <c r="N17" s="5">
        <v>10</v>
      </c>
      <c r="O17" s="5">
        <v>11</v>
      </c>
    </row>
    <row r="18" spans="1:15" ht="12.75">
      <c r="A18" s="8">
        <v>11</v>
      </c>
      <c r="B18" s="5">
        <v>12</v>
      </c>
      <c r="C18" s="5">
        <v>13</v>
      </c>
      <c r="D18" s="5">
        <v>14</v>
      </c>
      <c r="E18" s="5">
        <v>15</v>
      </c>
      <c r="F18" s="5">
        <v>16</v>
      </c>
      <c r="G18" s="5">
        <v>17</v>
      </c>
      <c r="H18" s="5"/>
      <c r="I18" s="8">
        <v>12</v>
      </c>
      <c r="J18" s="5">
        <v>13</v>
      </c>
      <c r="K18" s="5">
        <v>14</v>
      </c>
      <c r="L18" s="5">
        <v>15</v>
      </c>
      <c r="M18" s="5">
        <v>16</v>
      </c>
      <c r="N18" s="5">
        <v>17</v>
      </c>
      <c r="O18" s="5">
        <v>18</v>
      </c>
    </row>
    <row r="19" spans="1:15" ht="12.75">
      <c r="A19" s="8">
        <v>18</v>
      </c>
      <c r="B19" s="5">
        <v>19</v>
      </c>
      <c r="C19" s="5">
        <v>20</v>
      </c>
      <c r="D19" s="5">
        <v>21</v>
      </c>
      <c r="E19" s="5">
        <v>22</v>
      </c>
      <c r="F19" s="5">
        <v>23</v>
      </c>
      <c r="G19" s="5">
        <v>24</v>
      </c>
      <c r="H19" s="5"/>
      <c r="I19" s="8">
        <v>19</v>
      </c>
      <c r="J19" s="5">
        <v>20</v>
      </c>
      <c r="K19" s="5">
        <v>21</v>
      </c>
      <c r="L19" s="5">
        <v>22</v>
      </c>
      <c r="M19" s="5">
        <v>23</v>
      </c>
      <c r="N19" s="5">
        <v>24</v>
      </c>
      <c r="O19" s="5">
        <v>25</v>
      </c>
    </row>
    <row r="20" spans="1:15" ht="12.75">
      <c r="A20" s="8">
        <v>25</v>
      </c>
      <c r="B20" s="5">
        <v>26</v>
      </c>
      <c r="C20" s="5">
        <v>27</v>
      </c>
      <c r="D20" s="5">
        <v>28</v>
      </c>
      <c r="E20" s="5" t="s">
        <v>1024</v>
      </c>
      <c r="F20" s="5" t="s">
        <v>1024</v>
      </c>
      <c r="G20" s="5" t="s">
        <v>1024</v>
      </c>
      <c r="H20" s="5"/>
      <c r="I20" s="8">
        <v>26</v>
      </c>
      <c r="J20" s="5">
        <v>27</v>
      </c>
      <c r="K20" s="5">
        <v>28</v>
      </c>
      <c r="L20" s="5">
        <v>29</v>
      </c>
      <c r="M20" s="5">
        <v>30</v>
      </c>
      <c r="N20" s="5">
        <v>31</v>
      </c>
      <c r="O20" s="5" t="s">
        <v>1024</v>
      </c>
    </row>
    <row r="21" spans="1:15" ht="12.75">
      <c r="A21" s="8" t="s">
        <v>1024</v>
      </c>
      <c r="B21" s="5" t="s">
        <v>1024</v>
      </c>
      <c r="C21" s="5" t="s">
        <v>1024</v>
      </c>
      <c r="D21" s="5" t="s">
        <v>1024</v>
      </c>
      <c r="E21" s="5" t="s">
        <v>1024</v>
      </c>
      <c r="F21" s="5" t="s">
        <v>1024</v>
      </c>
      <c r="G21" s="5" t="s">
        <v>1024</v>
      </c>
      <c r="H21" s="5"/>
      <c r="I21" s="8" t="s">
        <v>1024</v>
      </c>
      <c r="J21" s="5" t="s">
        <v>1024</v>
      </c>
      <c r="K21" s="5" t="s">
        <v>1024</v>
      </c>
      <c r="L21" s="5" t="s">
        <v>1024</v>
      </c>
      <c r="M21" s="5" t="s">
        <v>1024</v>
      </c>
      <c r="N21" s="5" t="s">
        <v>1024</v>
      </c>
      <c r="O21" s="5" t="s">
        <v>1024</v>
      </c>
    </row>
    <row r="22" spans="1:15" ht="12.75">
      <c r="A22" s="8"/>
      <c r="B22" s="5"/>
      <c r="C22" s="5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6" t="s">
        <v>1029</v>
      </c>
      <c r="E23" s="5"/>
      <c r="F23" s="5"/>
      <c r="G23" s="5"/>
      <c r="H23" s="5"/>
      <c r="I23" s="5"/>
      <c r="J23" s="5"/>
      <c r="K23" s="5"/>
      <c r="L23" s="6" t="s">
        <v>1030</v>
      </c>
      <c r="M23" s="5"/>
      <c r="N23" s="5"/>
      <c r="O23" s="5"/>
    </row>
    <row r="24" spans="1:15" ht="16.5">
      <c r="A24" s="11" t="s">
        <v>170</v>
      </c>
      <c r="B24" s="12" t="s">
        <v>171</v>
      </c>
      <c r="C24" s="12" t="s">
        <v>172</v>
      </c>
      <c r="D24" s="12" t="s">
        <v>173</v>
      </c>
      <c r="E24" s="12" t="s">
        <v>174</v>
      </c>
      <c r="F24" s="12" t="s">
        <v>175</v>
      </c>
      <c r="G24" s="12" t="s">
        <v>176</v>
      </c>
      <c r="H24" s="12"/>
      <c r="I24" s="11" t="s">
        <v>170</v>
      </c>
      <c r="J24" s="12" t="s">
        <v>171</v>
      </c>
      <c r="K24" s="12" t="s">
        <v>172</v>
      </c>
      <c r="L24" s="12" t="s">
        <v>173</v>
      </c>
      <c r="M24" s="12" t="s">
        <v>174</v>
      </c>
      <c r="N24" s="12" t="s">
        <v>175</v>
      </c>
      <c r="O24" s="12" t="s">
        <v>176</v>
      </c>
    </row>
    <row r="25" spans="1:15" ht="12.75">
      <c r="A25" s="13" t="s">
        <v>1024</v>
      </c>
      <c r="B25" s="9" t="s">
        <v>1024</v>
      </c>
      <c r="C25" s="9" t="s">
        <v>1024</v>
      </c>
      <c r="D25" s="9" t="s">
        <v>1024</v>
      </c>
      <c r="E25" s="9">
        <v>1</v>
      </c>
      <c r="F25" s="9">
        <v>2</v>
      </c>
      <c r="G25" s="9">
        <v>3</v>
      </c>
      <c r="H25" s="9"/>
      <c r="I25" s="13" t="s">
        <v>1024</v>
      </c>
      <c r="J25" s="9" t="s">
        <v>1024</v>
      </c>
      <c r="K25" s="9" t="s">
        <v>1024</v>
      </c>
      <c r="L25" s="9" t="s">
        <v>1024</v>
      </c>
      <c r="M25" s="9" t="s">
        <v>1024</v>
      </c>
      <c r="N25" s="9" t="s">
        <v>1024</v>
      </c>
      <c r="O25" s="9">
        <v>1</v>
      </c>
    </row>
    <row r="26" spans="1:15" ht="12.75">
      <c r="A26" s="8">
        <v>4</v>
      </c>
      <c r="B26" s="5">
        <v>5</v>
      </c>
      <c r="C26" s="5">
        <v>6</v>
      </c>
      <c r="D26" s="5">
        <v>7</v>
      </c>
      <c r="E26" s="5">
        <v>8</v>
      </c>
      <c r="F26" s="5">
        <v>9</v>
      </c>
      <c r="G26" s="5">
        <v>10</v>
      </c>
      <c r="H26" s="5"/>
      <c r="I26" s="8">
        <v>2</v>
      </c>
      <c r="J26" s="5">
        <v>3</v>
      </c>
      <c r="K26" s="5">
        <v>4</v>
      </c>
      <c r="L26" s="5">
        <v>5</v>
      </c>
      <c r="M26" s="5">
        <v>6</v>
      </c>
      <c r="N26" s="5">
        <v>7</v>
      </c>
      <c r="O26" s="5">
        <v>8</v>
      </c>
    </row>
    <row r="27" spans="1:15" ht="12.75">
      <c r="A27" s="8">
        <v>11</v>
      </c>
      <c r="B27" s="5">
        <v>12</v>
      </c>
      <c r="C27" s="5">
        <v>13</v>
      </c>
      <c r="D27" s="5">
        <v>14</v>
      </c>
      <c r="E27" s="5">
        <v>15</v>
      </c>
      <c r="F27" s="5">
        <v>16</v>
      </c>
      <c r="G27" s="5">
        <v>17</v>
      </c>
      <c r="H27" s="5"/>
      <c r="I27" s="8">
        <v>9</v>
      </c>
      <c r="J27" s="5">
        <v>10</v>
      </c>
      <c r="K27" s="5">
        <v>11</v>
      </c>
      <c r="L27" s="5">
        <v>12</v>
      </c>
      <c r="M27" s="5">
        <v>13</v>
      </c>
      <c r="N27" s="5">
        <v>14</v>
      </c>
      <c r="O27" s="5">
        <v>15</v>
      </c>
    </row>
    <row r="28" spans="1:15" ht="12.75">
      <c r="A28" s="8">
        <v>18</v>
      </c>
      <c r="B28" s="5">
        <v>19</v>
      </c>
      <c r="C28" s="5">
        <v>20</v>
      </c>
      <c r="D28" s="5">
        <v>21</v>
      </c>
      <c r="E28" s="5">
        <v>22</v>
      </c>
      <c r="F28" s="5">
        <v>23</v>
      </c>
      <c r="G28" s="5">
        <v>24</v>
      </c>
      <c r="H28" s="5"/>
      <c r="I28" s="8">
        <v>16</v>
      </c>
      <c r="J28" s="5">
        <v>17</v>
      </c>
      <c r="K28" s="5">
        <v>18</v>
      </c>
      <c r="L28" s="5">
        <v>19</v>
      </c>
      <c r="M28" s="5">
        <v>20</v>
      </c>
      <c r="N28" s="5">
        <v>21</v>
      </c>
      <c r="O28" s="5">
        <v>22</v>
      </c>
    </row>
    <row r="29" spans="1:15" ht="12.75">
      <c r="A29" s="8">
        <v>25</v>
      </c>
      <c r="B29" s="5">
        <v>26</v>
      </c>
      <c r="C29" s="5">
        <v>27</v>
      </c>
      <c r="D29" s="5">
        <v>28</v>
      </c>
      <c r="E29" s="5">
        <v>29</v>
      </c>
      <c r="F29" s="5">
        <v>30</v>
      </c>
      <c r="G29" s="5">
        <v>31</v>
      </c>
      <c r="H29" s="5"/>
      <c r="I29" s="8">
        <v>23</v>
      </c>
      <c r="J29" s="5">
        <v>24</v>
      </c>
      <c r="K29" s="5">
        <v>25</v>
      </c>
      <c r="L29" s="5">
        <v>26</v>
      </c>
      <c r="M29" s="5">
        <v>27</v>
      </c>
      <c r="N29" s="5">
        <v>28</v>
      </c>
      <c r="O29" s="5">
        <v>29</v>
      </c>
    </row>
    <row r="30" spans="1:15" ht="12.75">
      <c r="A30" s="8" t="s">
        <v>1024</v>
      </c>
      <c r="B30" s="5" t="s">
        <v>1024</v>
      </c>
      <c r="C30" s="5" t="s">
        <v>1024</v>
      </c>
      <c r="D30" s="5" t="s">
        <v>1024</v>
      </c>
      <c r="E30" s="5" t="s">
        <v>1024</v>
      </c>
      <c r="F30" s="5" t="s">
        <v>1024</v>
      </c>
      <c r="G30" s="5" t="s">
        <v>1024</v>
      </c>
      <c r="H30" s="5"/>
      <c r="I30" s="8">
        <v>30</v>
      </c>
      <c r="J30" s="5" t="s">
        <v>1024</v>
      </c>
      <c r="K30" s="5" t="s">
        <v>1024</v>
      </c>
      <c r="L30" s="5" t="s">
        <v>1024</v>
      </c>
      <c r="M30" s="5" t="s">
        <v>1024</v>
      </c>
      <c r="N30" s="5" t="s">
        <v>1024</v>
      </c>
      <c r="O30" s="5" t="s">
        <v>1024</v>
      </c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6" t="s">
        <v>1031</v>
      </c>
      <c r="E32" s="5"/>
      <c r="F32" s="5"/>
      <c r="G32" s="5"/>
      <c r="H32" s="5"/>
      <c r="I32" s="5"/>
      <c r="J32" s="5"/>
      <c r="K32" s="5"/>
      <c r="L32" s="6" t="s">
        <v>1032</v>
      </c>
      <c r="M32" s="5"/>
      <c r="N32" s="5"/>
      <c r="O32" s="5"/>
    </row>
    <row r="33" spans="1:15" ht="16.5">
      <c r="A33" s="11" t="s">
        <v>170</v>
      </c>
      <c r="B33" s="12" t="s">
        <v>171</v>
      </c>
      <c r="C33" s="12" t="s">
        <v>172</v>
      </c>
      <c r="D33" s="12" t="s">
        <v>173</v>
      </c>
      <c r="E33" s="12" t="s">
        <v>174</v>
      </c>
      <c r="F33" s="12" t="s">
        <v>175</v>
      </c>
      <c r="G33" s="12" t="s">
        <v>176</v>
      </c>
      <c r="H33" s="12"/>
      <c r="I33" s="11" t="s">
        <v>170</v>
      </c>
      <c r="J33" s="12" t="s">
        <v>171</v>
      </c>
      <c r="K33" s="12" t="s">
        <v>172</v>
      </c>
      <c r="L33" s="12" t="s">
        <v>173</v>
      </c>
      <c r="M33" s="12" t="s">
        <v>174</v>
      </c>
      <c r="N33" s="12" t="s">
        <v>175</v>
      </c>
      <c r="O33" s="12" t="s">
        <v>176</v>
      </c>
    </row>
    <row r="34" spans="1:15" ht="12.75">
      <c r="A34" s="13">
        <v>1</v>
      </c>
      <c r="B34" s="9">
        <v>2</v>
      </c>
      <c r="C34" s="9">
        <v>3</v>
      </c>
      <c r="D34" s="9">
        <v>4</v>
      </c>
      <c r="E34" s="9">
        <v>5</v>
      </c>
      <c r="F34" s="9">
        <v>6</v>
      </c>
      <c r="G34" s="9">
        <v>7</v>
      </c>
      <c r="H34" s="9"/>
      <c r="I34" s="13" t="s">
        <v>1024</v>
      </c>
      <c r="J34" s="9">
        <v>1</v>
      </c>
      <c r="K34" s="9">
        <v>2</v>
      </c>
      <c r="L34" s="9">
        <v>3</v>
      </c>
      <c r="M34" s="9">
        <v>4</v>
      </c>
      <c r="N34" s="9">
        <v>15</v>
      </c>
      <c r="O34" s="9">
        <v>16</v>
      </c>
    </row>
    <row r="35" spans="1:15" ht="12.75">
      <c r="A35" s="8">
        <v>8</v>
      </c>
      <c r="B35" s="5">
        <v>9</v>
      </c>
      <c r="C35" s="5">
        <v>10</v>
      </c>
      <c r="D35" s="5">
        <v>11</v>
      </c>
      <c r="E35" s="5">
        <v>12</v>
      </c>
      <c r="F35" s="5">
        <v>13</v>
      </c>
      <c r="G35" s="5">
        <v>14</v>
      </c>
      <c r="H35" s="5"/>
      <c r="I35" s="10">
        <v>17</v>
      </c>
      <c r="J35" s="5">
        <v>18</v>
      </c>
      <c r="K35" s="5">
        <v>19</v>
      </c>
      <c r="L35" s="5">
        <v>20</v>
      </c>
      <c r="M35" s="5">
        <v>21</v>
      </c>
      <c r="N35" s="5">
        <v>22</v>
      </c>
      <c r="O35" s="5">
        <v>23</v>
      </c>
    </row>
    <row r="36" spans="1:15" ht="12.75">
      <c r="A36" s="8">
        <v>15</v>
      </c>
      <c r="B36" s="5">
        <v>16</v>
      </c>
      <c r="C36" s="5">
        <v>17</v>
      </c>
      <c r="D36" s="5">
        <v>18</v>
      </c>
      <c r="E36" s="5">
        <v>19</v>
      </c>
      <c r="F36" s="5">
        <v>20</v>
      </c>
      <c r="G36" s="5">
        <v>21</v>
      </c>
      <c r="H36" s="5"/>
      <c r="I36" s="10">
        <v>24</v>
      </c>
      <c r="J36" s="5">
        <v>25</v>
      </c>
      <c r="K36" s="5">
        <v>26</v>
      </c>
      <c r="L36" s="5">
        <v>27</v>
      </c>
      <c r="M36" s="5">
        <v>28</v>
      </c>
      <c r="N36" s="5">
        <v>29</v>
      </c>
      <c r="O36" s="5">
        <v>30</v>
      </c>
    </row>
    <row r="37" spans="1:15" ht="12.75">
      <c r="A37" s="8">
        <v>22</v>
      </c>
      <c r="B37" s="5">
        <v>23</v>
      </c>
      <c r="C37" s="5">
        <v>24</v>
      </c>
      <c r="D37" s="5">
        <v>25</v>
      </c>
      <c r="E37" s="5">
        <v>26</v>
      </c>
      <c r="F37" s="5">
        <v>27</v>
      </c>
      <c r="G37" s="5">
        <v>28</v>
      </c>
      <c r="H37" s="5"/>
      <c r="I37" s="10">
        <v>31</v>
      </c>
      <c r="J37" s="5" t="s">
        <v>1024</v>
      </c>
      <c r="K37" s="5" t="s">
        <v>1024</v>
      </c>
      <c r="L37" s="5" t="s">
        <v>1024</v>
      </c>
      <c r="M37" s="5" t="s">
        <v>1024</v>
      </c>
      <c r="N37" s="5" t="s">
        <v>1024</v>
      </c>
      <c r="O37" s="5" t="s">
        <v>1024</v>
      </c>
    </row>
    <row r="38" spans="1:15" ht="12.75">
      <c r="A38" s="8">
        <v>29</v>
      </c>
      <c r="B38" s="5">
        <v>30</v>
      </c>
      <c r="C38" s="5" t="s">
        <v>1024</v>
      </c>
      <c r="D38" s="5" t="s">
        <v>1024</v>
      </c>
      <c r="E38" s="5" t="s">
        <v>1024</v>
      </c>
      <c r="F38" s="5" t="s">
        <v>1024</v>
      </c>
      <c r="G38" s="5" t="s">
        <v>1024</v>
      </c>
      <c r="H38" s="5"/>
      <c r="I38" s="10" t="s">
        <v>1024</v>
      </c>
      <c r="J38" s="5" t="s">
        <v>1024</v>
      </c>
      <c r="K38" s="5" t="s">
        <v>1024</v>
      </c>
      <c r="L38" s="5" t="s">
        <v>1024</v>
      </c>
      <c r="M38" s="5" t="s">
        <v>1024</v>
      </c>
      <c r="N38" s="5" t="s">
        <v>1024</v>
      </c>
      <c r="O38" s="5" t="s">
        <v>1024</v>
      </c>
    </row>
    <row r="39" spans="1:15" ht="12.75">
      <c r="A39" s="8" t="s">
        <v>1024</v>
      </c>
      <c r="B39" s="5" t="s">
        <v>1024</v>
      </c>
      <c r="C39" s="5" t="s">
        <v>1024</v>
      </c>
      <c r="D39" s="5" t="s">
        <v>1024</v>
      </c>
      <c r="E39" s="5" t="s">
        <v>1024</v>
      </c>
      <c r="F39" s="5" t="s">
        <v>1024</v>
      </c>
      <c r="G39" s="5" t="s">
        <v>1024</v>
      </c>
      <c r="H39" s="5"/>
      <c r="I39" s="10" t="s">
        <v>1024</v>
      </c>
      <c r="J39" s="5" t="s">
        <v>1024</v>
      </c>
      <c r="K39" s="5" t="s">
        <v>1024</v>
      </c>
      <c r="L39" s="5" t="s">
        <v>1024</v>
      </c>
      <c r="M39" s="5" t="s">
        <v>1024</v>
      </c>
      <c r="N39" s="5" t="s">
        <v>1024</v>
      </c>
      <c r="O39" s="5" t="s">
        <v>1024</v>
      </c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6" t="s">
        <v>1033</v>
      </c>
      <c r="E41" s="5"/>
      <c r="F41" s="5"/>
      <c r="G41" s="5"/>
      <c r="H41" s="5"/>
      <c r="I41" s="5"/>
      <c r="J41" s="5"/>
      <c r="K41" s="5"/>
      <c r="L41" s="6" t="s">
        <v>1034</v>
      </c>
      <c r="M41" s="5"/>
      <c r="N41" s="5"/>
      <c r="O41" s="5"/>
    </row>
    <row r="42" spans="1:15" ht="16.5">
      <c r="A42" s="11" t="s">
        <v>170</v>
      </c>
      <c r="B42" s="12" t="s">
        <v>171</v>
      </c>
      <c r="C42" s="12" t="s">
        <v>172</v>
      </c>
      <c r="D42" s="12" t="s">
        <v>173</v>
      </c>
      <c r="E42" s="12" t="s">
        <v>174</v>
      </c>
      <c r="F42" s="12" t="s">
        <v>175</v>
      </c>
      <c r="G42" s="12" t="s">
        <v>176</v>
      </c>
      <c r="H42" s="12"/>
      <c r="I42" s="11" t="s">
        <v>170</v>
      </c>
      <c r="J42" s="12" t="s">
        <v>171</v>
      </c>
      <c r="K42" s="12" t="s">
        <v>172</v>
      </c>
      <c r="L42" s="12" t="s">
        <v>173</v>
      </c>
      <c r="M42" s="12" t="s">
        <v>174</v>
      </c>
      <c r="N42" s="12" t="s">
        <v>175</v>
      </c>
      <c r="O42" s="12" t="s">
        <v>176</v>
      </c>
    </row>
    <row r="43" spans="1:15" ht="12.75">
      <c r="A43" s="13" t="s">
        <v>1024</v>
      </c>
      <c r="B43" s="9" t="s">
        <v>1024</v>
      </c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/>
      <c r="I43" s="13" t="s">
        <v>1024</v>
      </c>
      <c r="J43" s="9">
        <v>1</v>
      </c>
      <c r="K43" s="9">
        <v>2</v>
      </c>
      <c r="L43" s="9">
        <v>3</v>
      </c>
      <c r="M43" s="9">
        <v>4</v>
      </c>
      <c r="N43" s="9">
        <v>5</v>
      </c>
      <c r="O43" s="9">
        <v>6</v>
      </c>
    </row>
    <row r="44" spans="1:15" ht="12.75">
      <c r="A44" s="8">
        <v>6</v>
      </c>
      <c r="B44" s="5">
        <v>7</v>
      </c>
      <c r="C44" s="5">
        <v>8</v>
      </c>
      <c r="D44" s="5">
        <v>9</v>
      </c>
      <c r="E44" s="5">
        <v>10</v>
      </c>
      <c r="F44" s="5">
        <v>11</v>
      </c>
      <c r="G44" s="5">
        <v>12</v>
      </c>
      <c r="H44" s="5"/>
      <c r="I44" s="10">
        <v>7</v>
      </c>
      <c r="J44" s="5">
        <v>8</v>
      </c>
      <c r="K44" s="5">
        <v>9</v>
      </c>
      <c r="L44" s="5">
        <v>10</v>
      </c>
      <c r="M44" s="5">
        <v>11</v>
      </c>
      <c r="N44" s="5">
        <v>12</v>
      </c>
      <c r="O44" s="5">
        <v>13</v>
      </c>
    </row>
    <row r="45" spans="1:15" ht="12.75">
      <c r="A45" s="8">
        <v>13</v>
      </c>
      <c r="B45" s="5">
        <v>14</v>
      </c>
      <c r="C45" s="5">
        <v>15</v>
      </c>
      <c r="D45" s="5">
        <v>16</v>
      </c>
      <c r="E45" s="5">
        <v>17</v>
      </c>
      <c r="F45" s="5">
        <v>18</v>
      </c>
      <c r="G45" s="5">
        <v>19</v>
      </c>
      <c r="H45" s="5"/>
      <c r="I45" s="10">
        <v>14</v>
      </c>
      <c r="J45" s="5">
        <v>15</v>
      </c>
      <c r="K45" s="5">
        <v>16</v>
      </c>
      <c r="L45" s="5">
        <v>17</v>
      </c>
      <c r="M45" s="5">
        <v>18</v>
      </c>
      <c r="N45" s="5">
        <v>19</v>
      </c>
      <c r="O45" s="5">
        <v>20</v>
      </c>
    </row>
    <row r="46" spans="1:15" ht="12.75">
      <c r="A46" s="8">
        <v>20</v>
      </c>
      <c r="B46" s="5">
        <v>21</v>
      </c>
      <c r="C46" s="5">
        <v>22</v>
      </c>
      <c r="D46" s="5">
        <v>23</v>
      </c>
      <c r="E46" s="5">
        <v>24</v>
      </c>
      <c r="F46" s="5">
        <v>25</v>
      </c>
      <c r="G46" s="5">
        <v>26</v>
      </c>
      <c r="H46" s="5"/>
      <c r="I46" s="10">
        <v>21</v>
      </c>
      <c r="J46" s="5">
        <v>22</v>
      </c>
      <c r="K46" s="5">
        <v>23</v>
      </c>
      <c r="L46" s="5">
        <v>24</v>
      </c>
      <c r="M46" s="5">
        <v>25</v>
      </c>
      <c r="N46" s="5">
        <v>26</v>
      </c>
      <c r="O46" s="5">
        <v>27</v>
      </c>
    </row>
    <row r="47" spans="1:15" ht="12.75">
      <c r="A47" s="8">
        <v>27</v>
      </c>
      <c r="B47" s="5">
        <v>28</v>
      </c>
      <c r="C47" s="5">
        <v>29</v>
      </c>
      <c r="D47" s="5">
        <v>30</v>
      </c>
      <c r="E47" s="5">
        <v>31</v>
      </c>
      <c r="F47" s="5" t="s">
        <v>1024</v>
      </c>
      <c r="G47" s="5" t="s">
        <v>1024</v>
      </c>
      <c r="H47" s="5"/>
      <c r="I47" s="10">
        <v>28</v>
      </c>
      <c r="J47" s="5">
        <v>29</v>
      </c>
      <c r="K47" s="5">
        <v>30</v>
      </c>
      <c r="L47" s="5" t="s">
        <v>1024</v>
      </c>
      <c r="M47" s="5" t="s">
        <v>1024</v>
      </c>
      <c r="N47" s="5" t="s">
        <v>1024</v>
      </c>
      <c r="O47" s="5" t="s">
        <v>1024</v>
      </c>
    </row>
    <row r="48" spans="1:15" ht="12.75">
      <c r="A48" s="8" t="s">
        <v>1024</v>
      </c>
      <c r="B48" s="5" t="s">
        <v>1024</v>
      </c>
      <c r="C48" s="5" t="s">
        <v>1024</v>
      </c>
      <c r="D48" s="5" t="s">
        <v>1024</v>
      </c>
      <c r="E48" s="5" t="s">
        <v>1024</v>
      </c>
      <c r="F48" s="5" t="s">
        <v>1024</v>
      </c>
      <c r="G48" s="5" t="s">
        <v>1024</v>
      </c>
      <c r="H48" s="5"/>
      <c r="I48" s="10" t="s">
        <v>1024</v>
      </c>
      <c r="J48" s="5" t="s">
        <v>1024</v>
      </c>
      <c r="K48" s="5" t="s">
        <v>1024</v>
      </c>
      <c r="L48" s="5" t="s">
        <v>1024</v>
      </c>
      <c r="M48" s="5" t="s">
        <v>1024</v>
      </c>
      <c r="N48" s="5" t="s">
        <v>1024</v>
      </c>
      <c r="O48" s="5" t="s">
        <v>1024</v>
      </c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6" t="s">
        <v>1035</v>
      </c>
      <c r="E50" s="5"/>
      <c r="F50" s="5"/>
      <c r="G50" s="5"/>
      <c r="H50" s="5"/>
      <c r="I50" s="5"/>
      <c r="J50" s="5"/>
      <c r="K50" s="5"/>
      <c r="L50" s="6" t="s">
        <v>1036</v>
      </c>
      <c r="M50" s="5"/>
      <c r="N50" s="5"/>
      <c r="O50" s="5"/>
    </row>
    <row r="51" spans="1:15" ht="16.5">
      <c r="A51" s="11" t="s">
        <v>170</v>
      </c>
      <c r="B51" s="12" t="s">
        <v>171</v>
      </c>
      <c r="C51" s="12" t="s">
        <v>172</v>
      </c>
      <c r="D51" s="12" t="s">
        <v>173</v>
      </c>
      <c r="E51" s="12" t="s">
        <v>174</v>
      </c>
      <c r="F51" s="12" t="s">
        <v>175</v>
      </c>
      <c r="G51" s="12" t="s">
        <v>176</v>
      </c>
      <c r="H51" s="12"/>
      <c r="I51" s="11" t="s">
        <v>170</v>
      </c>
      <c r="J51" s="12" t="s">
        <v>171</v>
      </c>
      <c r="K51" s="12" t="s">
        <v>172</v>
      </c>
      <c r="L51" s="12" t="s">
        <v>173</v>
      </c>
      <c r="M51" s="12" t="s">
        <v>174</v>
      </c>
      <c r="N51" s="12" t="s">
        <v>175</v>
      </c>
      <c r="O51" s="12" t="s">
        <v>176</v>
      </c>
    </row>
    <row r="52" spans="1:15" ht="12.75">
      <c r="A52" s="13" t="s">
        <v>1024</v>
      </c>
      <c r="B52" s="9" t="s">
        <v>1024</v>
      </c>
      <c r="C52" s="9" t="s">
        <v>1024</v>
      </c>
      <c r="D52" s="9" t="s">
        <v>1024</v>
      </c>
      <c r="E52" s="9" t="s">
        <v>1024</v>
      </c>
      <c r="F52" s="9">
        <v>1</v>
      </c>
      <c r="G52" s="9">
        <v>2</v>
      </c>
      <c r="H52" s="9"/>
      <c r="I52" s="13" t="s">
        <v>1024</v>
      </c>
      <c r="J52" s="5" t="s">
        <v>1024</v>
      </c>
      <c r="K52" s="5" t="s">
        <v>1024</v>
      </c>
      <c r="L52" s="5">
        <v>1</v>
      </c>
      <c r="M52" s="5">
        <v>2</v>
      </c>
      <c r="N52" s="5">
        <v>3</v>
      </c>
      <c r="O52" s="5">
        <v>4</v>
      </c>
    </row>
    <row r="53" spans="1:15" ht="12.75">
      <c r="A53" s="8">
        <v>3</v>
      </c>
      <c r="B53" s="9">
        <v>4</v>
      </c>
      <c r="C53" s="9">
        <v>5</v>
      </c>
      <c r="D53" s="9">
        <v>6</v>
      </c>
      <c r="E53" s="9">
        <v>7</v>
      </c>
      <c r="F53" s="9">
        <v>8</v>
      </c>
      <c r="G53" s="9">
        <v>9</v>
      </c>
      <c r="H53" s="5"/>
      <c r="I53" s="10">
        <v>5</v>
      </c>
      <c r="J53" s="5">
        <v>6</v>
      </c>
      <c r="K53" s="5">
        <v>7</v>
      </c>
      <c r="L53" s="5">
        <v>8</v>
      </c>
      <c r="M53" s="5">
        <v>9</v>
      </c>
      <c r="N53" s="5">
        <v>10</v>
      </c>
      <c r="O53" s="5">
        <v>11</v>
      </c>
    </row>
    <row r="54" spans="1:15" ht="12.75">
      <c r="A54" s="8">
        <v>10</v>
      </c>
      <c r="B54" s="9">
        <v>11</v>
      </c>
      <c r="C54" s="9">
        <v>12</v>
      </c>
      <c r="D54" s="9">
        <v>13</v>
      </c>
      <c r="E54" s="9">
        <v>14</v>
      </c>
      <c r="F54" s="9">
        <v>15</v>
      </c>
      <c r="G54" s="9">
        <v>16</v>
      </c>
      <c r="H54" s="5"/>
      <c r="I54" s="10">
        <v>12</v>
      </c>
      <c r="J54" s="5">
        <v>13</v>
      </c>
      <c r="K54" s="5">
        <v>14</v>
      </c>
      <c r="L54" s="5">
        <v>15</v>
      </c>
      <c r="M54" s="5">
        <v>16</v>
      </c>
      <c r="N54" s="5">
        <v>17</v>
      </c>
      <c r="O54" s="5">
        <v>18</v>
      </c>
    </row>
    <row r="55" spans="1:15" ht="12.75">
      <c r="A55" s="8">
        <v>17</v>
      </c>
      <c r="B55" s="9">
        <v>18</v>
      </c>
      <c r="C55" s="9">
        <v>19</v>
      </c>
      <c r="D55" s="9">
        <v>20</v>
      </c>
      <c r="E55" s="9">
        <v>21</v>
      </c>
      <c r="F55" s="9">
        <v>22</v>
      </c>
      <c r="G55" s="9">
        <v>23</v>
      </c>
      <c r="H55" s="5"/>
      <c r="I55" s="10">
        <v>19</v>
      </c>
      <c r="J55" s="5">
        <v>20</v>
      </c>
      <c r="K55" s="5">
        <v>21</v>
      </c>
      <c r="L55" s="5">
        <v>22</v>
      </c>
      <c r="M55" s="5">
        <v>23</v>
      </c>
      <c r="N55" s="5">
        <v>24</v>
      </c>
      <c r="O55" s="5">
        <v>25</v>
      </c>
    </row>
    <row r="56" spans="1:15" ht="12.75">
      <c r="A56" s="8">
        <v>24</v>
      </c>
      <c r="B56" s="9">
        <v>25</v>
      </c>
      <c r="C56" s="9">
        <v>26</v>
      </c>
      <c r="D56" s="9">
        <v>27</v>
      </c>
      <c r="E56" s="9">
        <v>28</v>
      </c>
      <c r="F56" s="9">
        <v>29</v>
      </c>
      <c r="G56" s="9">
        <v>30</v>
      </c>
      <c r="H56" s="5"/>
      <c r="I56" s="10">
        <v>26</v>
      </c>
      <c r="J56" s="5">
        <v>27</v>
      </c>
      <c r="K56" s="5">
        <v>28</v>
      </c>
      <c r="L56" s="5">
        <v>29</v>
      </c>
      <c r="M56" s="5">
        <v>30</v>
      </c>
      <c r="N56" s="5">
        <v>31</v>
      </c>
      <c r="O56" s="5" t="s">
        <v>1024</v>
      </c>
    </row>
    <row r="57" spans="1:15" ht="12.75">
      <c r="A57" s="8" t="s">
        <v>1024</v>
      </c>
      <c r="B57" s="5" t="s">
        <v>1024</v>
      </c>
      <c r="C57" s="5" t="s">
        <v>1024</v>
      </c>
      <c r="D57" s="5" t="s">
        <v>1024</v>
      </c>
      <c r="E57" s="5" t="s">
        <v>1024</v>
      </c>
      <c r="F57" s="5" t="s">
        <v>1024</v>
      </c>
      <c r="G57" s="5" t="s">
        <v>1024</v>
      </c>
      <c r="H57" s="5"/>
      <c r="I57" s="10" t="s">
        <v>1024</v>
      </c>
      <c r="J57" s="5" t="s">
        <v>1024</v>
      </c>
      <c r="K57" s="5" t="s">
        <v>1024</v>
      </c>
      <c r="L57" s="5" t="s">
        <v>1024</v>
      </c>
      <c r="M57" s="5" t="s">
        <v>1024</v>
      </c>
      <c r="N57" s="5" t="s">
        <v>1024</v>
      </c>
      <c r="O57" s="5" t="s">
        <v>1024</v>
      </c>
    </row>
    <row r="59" spans="1:9" ht="14.25">
      <c r="A59" s="17" t="s">
        <v>2160</v>
      </c>
      <c r="B59" s="9"/>
      <c r="C59" s="3"/>
      <c r="I59" s="18"/>
    </row>
    <row r="60" ht="14.25">
      <c r="I60" s="19"/>
    </row>
    <row r="61" ht="12.75">
      <c r="A61" t="s">
        <v>1037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</sheetData>
  <sheetProtection sheet="1" objects="1" scenarios="1"/>
  <conditionalFormatting sqref="B36:G36">
    <cfRule type="cellIs" priority="1" dxfId="12" operator="equal" stopIfTrue="1">
      <formula>25</formula>
    </cfRule>
  </conditionalFormatting>
  <printOptions/>
  <pageMargins left="0.7874015748031497" right="0.7874015748031497" top="1.1811023622047245" bottom="0.7874015748031497" header="0" footer="0"/>
  <pageSetup fitToHeight="1" fitToWidth="1" horizontalDpi="120" verticalDpi="12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L64"/>
  <sheetViews>
    <sheetView showGridLines="0" showRowColHeaders="0" tabSelected="1" zoomScale="75" zoomScaleNormal="75" zoomScalePageLayoutView="0" workbookViewId="0" topLeftCell="A1">
      <selection activeCell="E1" sqref="E1"/>
    </sheetView>
  </sheetViews>
  <sheetFormatPr defaultColWidth="11.421875" defaultRowHeight="12.75"/>
  <cols>
    <col min="1" max="1" width="10.7109375" style="0" customWidth="1"/>
    <col min="2" max="15" width="9.7109375" style="0" customWidth="1"/>
    <col min="16" max="16" width="7.7109375" style="0" customWidth="1"/>
    <col min="17" max="17" width="15.7109375" style="0" customWidth="1"/>
    <col min="18" max="19" width="10.7109375" style="0" customWidth="1"/>
    <col min="20" max="21" width="7.7109375" style="0" hidden="1" customWidth="1"/>
    <col min="22" max="76" width="9.7109375" style="0" hidden="1" customWidth="1"/>
    <col min="77" max="79" width="11.421875" style="0" hidden="1" customWidth="1"/>
    <col min="80" max="81" width="9.7109375" style="0" hidden="1" customWidth="1"/>
    <col min="82" max="88" width="11.421875" style="0" hidden="1" customWidth="1"/>
    <col min="89" max="91" width="0" style="0" hidden="1" customWidth="1"/>
  </cols>
  <sheetData>
    <row r="1" spans="1:21" ht="15.75">
      <c r="A1" s="275" t="str">
        <f>IF(INDEX($U$34:$BW$34,1,$I$1)="","Calendario gregoriano",INDEX($U$34:$BW$34,1,$I$1))</f>
        <v>Calendario gregoriano</v>
      </c>
      <c r="D1" s="31" t="s">
        <v>2308</v>
      </c>
      <c r="E1" s="46">
        <v>2023</v>
      </c>
      <c r="F1" s="15">
        <f>IF(L1=1,"Bisiesto","")</f>
      </c>
      <c r="I1" s="51">
        <f>MATCH(R1,U8:BW8,0)</f>
        <v>18</v>
      </c>
      <c r="J1" s="51"/>
      <c r="K1" s="51"/>
      <c r="L1" s="58">
        <f>IF(MOD($E$1,400)=0,1,IF(AND(MOD($E$1,100)&lt;&gt;0,MOD($E$1,4)=0),1,0))</f>
        <v>0</v>
      </c>
      <c r="M1" s="51"/>
      <c r="N1" s="52" t="s">
        <v>182</v>
      </c>
      <c r="O1" s="53">
        <f>365*E1+1+INT((E1-1)/4)-INT(INT((E1-1)/100+1)*0.75)</f>
        <v>738886</v>
      </c>
      <c r="Q1" s="31" t="s">
        <v>236</v>
      </c>
      <c r="R1" s="116" t="s">
        <v>235</v>
      </c>
      <c r="S1" s="116"/>
      <c r="U1" t="s">
        <v>183</v>
      </c>
    </row>
    <row r="2" spans="1:80" ht="12.75">
      <c r="A2" s="44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5"/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Q2" s="44"/>
      <c r="U2" s="1" t="s">
        <v>177</v>
      </c>
      <c r="V2" s="15">
        <f>IF($E$1&lt;1583,15,15+INT($E$1/100)-INT($E$1/100/3)-INT($E$1/100/4))</f>
        <v>24</v>
      </c>
      <c r="W2" s="1" t="s">
        <v>178</v>
      </c>
      <c r="X2" s="15">
        <f>IF($E$1&lt;1583,6,MOD(4+INT($E$1/100)-INT($E$1/100/4),7))</f>
        <v>5</v>
      </c>
      <c r="Y2" s="15"/>
      <c r="AB2" s="15"/>
      <c r="AC2" s="15"/>
      <c r="AD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CB2" s="1"/>
    </row>
    <row r="3" spans="1:80" ht="12.75">
      <c r="A3" s="5"/>
      <c r="C3" s="4"/>
      <c r="U3" s="1" t="s">
        <v>179</v>
      </c>
      <c r="V3" s="16">
        <f>MOD(19*MOD($E$1,19)+V2,30)</f>
        <v>15</v>
      </c>
      <c r="W3" s="16">
        <f>IF(OR(AND(V3=29,V4=6),AND(V3=28,V4=6,MOD($E$1,19)&gt;10)),V3-7,V3)</f>
        <v>15</v>
      </c>
      <c r="CB3" s="32"/>
    </row>
    <row r="4" spans="1:23" ht="20.25">
      <c r="A4" s="33"/>
      <c r="H4" s="14">
        <f>IF($E$1=0,"No existe el año 0",IF($E$1&lt;1582,"En "&amp;$E$1&amp;" regía el calendario juliano",IF($E$1=1582,"1582 (vea también la hoja 1582)",$E$1)))</f>
        <v>2023</v>
      </c>
      <c r="S4" s="15"/>
      <c r="U4" s="1" t="s">
        <v>180</v>
      </c>
      <c r="V4" s="16">
        <f>MOD(2*MOD($E$1,4)+4*MOD($E$1,7)+6*V3+X2,7)</f>
        <v>3</v>
      </c>
      <c r="W4" s="16">
        <f>V4</f>
        <v>3</v>
      </c>
    </row>
    <row r="5" spans="1:90" ht="12.75" customHeight="1">
      <c r="A5" s="5"/>
      <c r="B5" s="5"/>
      <c r="C5" s="5"/>
      <c r="D5" s="6" t="str">
        <f>VLOOKUP(1,$U$18:$BW$29,$I$1)&amp;" "&amp;$E$1</f>
        <v>Enero 2023</v>
      </c>
      <c r="E5" s="5"/>
      <c r="F5" s="5"/>
      <c r="G5" s="5"/>
      <c r="H5" s="5"/>
      <c r="I5" s="5"/>
      <c r="J5" s="5"/>
      <c r="K5" s="5"/>
      <c r="L5" s="6" t="str">
        <f>VLOOKUP(7,$U$18:$BW$29,$I$1)&amp;" "&amp;$E$1</f>
        <v>Julio 2023</v>
      </c>
      <c r="M5" s="5"/>
      <c r="N5" s="5"/>
      <c r="O5" s="5"/>
      <c r="Q5" t="s">
        <v>912</v>
      </c>
      <c r="R5" s="62" t="s">
        <v>912</v>
      </c>
      <c r="U5" s="74" t="s">
        <v>59</v>
      </c>
      <c r="V5" t="s">
        <v>912</v>
      </c>
      <c r="W5" s="32" t="s">
        <v>549</v>
      </c>
      <c r="X5" s="32" t="s">
        <v>10</v>
      </c>
      <c r="Y5" s="32" t="s">
        <v>2168</v>
      </c>
      <c r="Z5" t="s">
        <v>673</v>
      </c>
      <c r="AA5" t="s">
        <v>867</v>
      </c>
      <c r="AB5" t="s">
        <v>740</v>
      </c>
      <c r="AC5" t="s">
        <v>570</v>
      </c>
      <c r="AD5" t="s">
        <v>2220</v>
      </c>
      <c r="AE5" t="s">
        <v>789</v>
      </c>
      <c r="AF5" t="s">
        <v>392</v>
      </c>
      <c r="AG5" t="s">
        <v>389</v>
      </c>
      <c r="AH5" s="32" t="s">
        <v>1331</v>
      </c>
      <c r="AI5" t="s">
        <v>922</v>
      </c>
      <c r="AJ5" s="35" t="s">
        <v>1186</v>
      </c>
      <c r="AK5" t="s">
        <v>388</v>
      </c>
      <c r="AL5" t="s">
        <v>235</v>
      </c>
      <c r="AM5" t="s">
        <v>1126</v>
      </c>
      <c r="AN5" t="s">
        <v>660</v>
      </c>
      <c r="AO5" t="s">
        <v>393</v>
      </c>
      <c r="AP5" t="s">
        <v>758</v>
      </c>
      <c r="AQ5" t="s">
        <v>1048</v>
      </c>
      <c r="AR5" t="s">
        <v>404</v>
      </c>
      <c r="AS5" s="32" t="s">
        <v>2011</v>
      </c>
      <c r="AT5" t="s">
        <v>794</v>
      </c>
      <c r="AU5" t="s">
        <v>293</v>
      </c>
      <c r="AV5" t="s">
        <v>394</v>
      </c>
      <c r="AW5" t="s">
        <v>884</v>
      </c>
      <c r="AX5" t="s">
        <v>882</v>
      </c>
      <c r="AY5" t="s">
        <v>651</v>
      </c>
      <c r="AZ5" s="32" t="s">
        <v>505</v>
      </c>
      <c r="BA5" t="s">
        <v>390</v>
      </c>
      <c r="BB5" t="s">
        <v>704</v>
      </c>
      <c r="BC5" s="32" t="s">
        <v>1303</v>
      </c>
      <c r="BD5" s="32" t="s">
        <v>24</v>
      </c>
      <c r="BE5" s="32" t="s">
        <v>501</v>
      </c>
      <c r="BF5" t="s">
        <v>419</v>
      </c>
      <c r="BG5" t="s">
        <v>294</v>
      </c>
      <c r="BH5" t="s">
        <v>827</v>
      </c>
      <c r="BI5" t="s">
        <v>559</v>
      </c>
      <c r="BJ5" s="32" t="s">
        <v>1995</v>
      </c>
      <c r="BK5" t="s">
        <v>825</v>
      </c>
      <c r="BL5" s="32" t="s">
        <v>458</v>
      </c>
      <c r="BM5" t="s">
        <v>2221</v>
      </c>
      <c r="BN5" t="s">
        <v>593</v>
      </c>
      <c r="BO5" t="s">
        <v>2219</v>
      </c>
      <c r="BP5" t="s">
        <v>395</v>
      </c>
      <c r="BQ5" t="s">
        <v>391</v>
      </c>
      <c r="BR5" t="s">
        <v>1156</v>
      </c>
      <c r="BS5" t="s">
        <v>597</v>
      </c>
      <c r="BT5" t="s">
        <v>682</v>
      </c>
      <c r="BU5" t="s">
        <v>2222</v>
      </c>
      <c r="BV5" t="s">
        <v>637</v>
      </c>
      <c r="BW5" s="15" t="s">
        <v>1071</v>
      </c>
      <c r="BZ5" t="s">
        <v>988</v>
      </c>
      <c r="CA5" t="s">
        <v>826</v>
      </c>
      <c r="CC5" s="32" t="s">
        <v>2186</v>
      </c>
      <c r="CF5" s="32" t="s">
        <v>2155</v>
      </c>
      <c r="CI5" s="32" t="s">
        <v>2188</v>
      </c>
      <c r="CL5" s="32" t="s">
        <v>2304</v>
      </c>
    </row>
    <row r="6" spans="1:90" ht="16.5" customHeight="1">
      <c r="A6" s="11" t="str">
        <f>VLOOKUP(A$2,$U$8:$BW$15,$I$1)</f>
        <v>Domingo</v>
      </c>
      <c r="B6" s="12" t="str">
        <f>VLOOKUP(B$2,$U$8:$BW$15,$I$1)</f>
        <v>Lunes</v>
      </c>
      <c r="C6" s="12" t="str">
        <f>VLOOKUP(C$2,$U$8:$BW$15,$I$1)</f>
        <v>Martes</v>
      </c>
      <c r="D6" s="12" t="str">
        <f>VLOOKUP(D$2,$U$8:$BW$15,$I$1)</f>
        <v>Miércoles</v>
      </c>
      <c r="E6" s="12" t="str">
        <f>VLOOKUP(E$2,$U$8:$BW$15,$I$1)</f>
        <v>Jueves</v>
      </c>
      <c r="F6" s="12" t="str">
        <f>VLOOKUP(F$2,$U$8:$BW$15,$I$1)</f>
        <v>Viernes</v>
      </c>
      <c r="G6" s="12" t="str">
        <f>VLOOKUP(G$2,$U$8:$BW$15,$I$1)</f>
        <v>Sábado</v>
      </c>
      <c r="H6" s="12"/>
      <c r="I6" s="11" t="str">
        <f>$A$6</f>
        <v>Domingo</v>
      </c>
      <c r="J6" s="12" t="str">
        <f>$B$6</f>
        <v>Lunes</v>
      </c>
      <c r="K6" s="12" t="str">
        <f>$C$6</f>
        <v>Martes</v>
      </c>
      <c r="L6" s="12" t="str">
        <f>$D$6</f>
        <v>Miércoles</v>
      </c>
      <c r="M6" s="12" t="str">
        <f>$E$6</f>
        <v>Jueves</v>
      </c>
      <c r="N6" s="12" t="str">
        <f>$F$6</f>
        <v>Viernes</v>
      </c>
      <c r="O6" s="12" t="str">
        <f>$G$6</f>
        <v>Sábado</v>
      </c>
      <c r="P6" s="7"/>
      <c r="Q6" t="s">
        <v>549</v>
      </c>
      <c r="R6" s="135" t="s">
        <v>547</v>
      </c>
      <c r="S6" s="15"/>
      <c r="T6" s="7"/>
      <c r="U6" s="68" t="s">
        <v>27</v>
      </c>
      <c r="V6" t="s">
        <v>912</v>
      </c>
      <c r="W6" s="32" t="s">
        <v>546</v>
      </c>
      <c r="X6" s="32" t="s">
        <v>13</v>
      </c>
      <c r="Y6" s="32" t="s">
        <v>2185</v>
      </c>
      <c r="Z6" s="59" t="s">
        <v>673</v>
      </c>
      <c r="AA6" s="38" t="s">
        <v>936</v>
      </c>
      <c r="AB6" t="s">
        <v>1046</v>
      </c>
      <c r="AC6" t="s">
        <v>917</v>
      </c>
      <c r="AD6" t="s">
        <v>2223</v>
      </c>
      <c r="AE6" t="s">
        <v>978</v>
      </c>
      <c r="AF6" t="s">
        <v>918</v>
      </c>
      <c r="AG6" t="s">
        <v>932</v>
      </c>
      <c r="AH6" s="32" t="s">
        <v>1353</v>
      </c>
      <c r="AI6" t="s">
        <v>920</v>
      </c>
      <c r="AJ6" t="s">
        <v>1168</v>
      </c>
      <c r="AK6" t="s">
        <v>243</v>
      </c>
      <c r="AL6" t="s">
        <v>933</v>
      </c>
      <c r="AM6" t="s">
        <v>1126</v>
      </c>
      <c r="AN6" t="s">
        <v>1047</v>
      </c>
      <c r="AO6" t="s">
        <v>931</v>
      </c>
      <c r="AP6" t="s">
        <v>937</v>
      </c>
      <c r="AQ6" s="32" t="s">
        <v>1302</v>
      </c>
      <c r="AR6" t="s">
        <v>916</v>
      </c>
      <c r="AS6" s="32" t="s">
        <v>2011</v>
      </c>
      <c r="AT6" t="s">
        <v>935</v>
      </c>
      <c r="AU6" t="s">
        <v>938</v>
      </c>
      <c r="AV6" t="s">
        <v>939</v>
      </c>
      <c r="AW6" s="38" t="s">
        <v>903</v>
      </c>
      <c r="AX6" s="38" t="s">
        <v>904</v>
      </c>
      <c r="AY6" t="s">
        <v>934</v>
      </c>
      <c r="AZ6" s="32" t="s">
        <v>526</v>
      </c>
      <c r="BA6" t="s">
        <v>919</v>
      </c>
      <c r="BB6" t="s">
        <v>940</v>
      </c>
      <c r="BC6" s="32" t="s">
        <v>1317</v>
      </c>
      <c r="BD6" s="32" t="s">
        <v>26</v>
      </c>
      <c r="BE6" s="32" t="s">
        <v>502</v>
      </c>
      <c r="BF6" t="s">
        <v>941</v>
      </c>
      <c r="BG6" t="s">
        <v>942</v>
      </c>
      <c r="BH6" s="59" t="s">
        <v>827</v>
      </c>
      <c r="BI6" t="s">
        <v>943</v>
      </c>
      <c r="BJ6" s="32" t="s">
        <v>1989</v>
      </c>
      <c r="BK6" t="s">
        <v>825</v>
      </c>
      <c r="BL6" s="32" t="s">
        <v>459</v>
      </c>
      <c r="BM6" t="s">
        <v>2224</v>
      </c>
      <c r="BN6" t="s">
        <v>944</v>
      </c>
      <c r="BO6" s="32" t="s">
        <v>2226</v>
      </c>
      <c r="BP6" t="s">
        <v>930</v>
      </c>
      <c r="BQ6" t="s">
        <v>945</v>
      </c>
      <c r="BR6" t="s">
        <v>1154</v>
      </c>
      <c r="BS6" t="s">
        <v>946</v>
      </c>
      <c r="BT6" t="s">
        <v>947</v>
      </c>
      <c r="BU6" t="s">
        <v>2225</v>
      </c>
      <c r="BV6" t="s">
        <v>638</v>
      </c>
      <c r="BW6" t="s">
        <v>1079</v>
      </c>
      <c r="BZ6" t="s">
        <v>987</v>
      </c>
      <c r="CA6" t="s">
        <v>826</v>
      </c>
      <c r="CC6" s="32" t="s">
        <v>2303</v>
      </c>
      <c r="CF6" s="32" t="s">
        <v>2206</v>
      </c>
      <c r="CL6" s="32" t="s">
        <v>2305</v>
      </c>
    </row>
    <row r="7" spans="1:75" ht="12.75" customHeight="1">
      <c r="A7" s="8">
        <f>IF($O$1+INT(-$O$1/7+1)*7=A$2,1,"")</f>
        <v>1</v>
      </c>
      <c r="B7" s="5">
        <f aca="true" t="shared" si="0" ref="B7:G7">IF($O$1+INT(-$O$1/7+1)*7=B$2,1,IF(A7&lt;&gt;"",A7+1,""))</f>
        <v>2</v>
      </c>
      <c r="C7" s="5">
        <f t="shared" si="0"/>
        <v>3</v>
      </c>
      <c r="D7" s="5">
        <f t="shared" si="0"/>
        <v>4</v>
      </c>
      <c r="E7" s="5">
        <f t="shared" si="0"/>
        <v>5</v>
      </c>
      <c r="F7" s="5">
        <f t="shared" si="0"/>
        <v>6</v>
      </c>
      <c r="G7" s="5">
        <f t="shared" si="0"/>
        <v>7</v>
      </c>
      <c r="H7" s="34"/>
      <c r="I7" s="8">
        <f>IF($O$1+181+$L$1+INT(-($O$1+181+$L$1)/7+1)*7=I$2,1,"")</f>
      </c>
      <c r="J7" s="5">
        <f aca="true" t="shared" si="1" ref="J7:O7">IF($O$1+181+$L$1+INT(-($O$1+181+$L$1)/7+1)*7=J$2,1,IF(I7&lt;&gt;"",I7+1,""))</f>
      </c>
      <c r="K7" s="5">
        <f t="shared" si="1"/>
      </c>
      <c r="L7" s="5">
        <f t="shared" si="1"/>
      </c>
      <c r="M7" s="5">
        <f t="shared" si="1"/>
      </c>
      <c r="N7" s="5">
        <f t="shared" si="1"/>
      </c>
      <c r="O7" s="5">
        <f t="shared" si="1"/>
        <v>1</v>
      </c>
      <c r="Q7" t="s">
        <v>10</v>
      </c>
      <c r="R7" s="32" t="s">
        <v>12</v>
      </c>
      <c r="S7" s="15"/>
      <c r="V7" s="5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5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5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5">
        <v>35</v>
      </c>
      <c r="BE7" s="5">
        <v>36</v>
      </c>
      <c r="BF7" s="5">
        <v>37</v>
      </c>
      <c r="BG7" s="5">
        <v>38</v>
      </c>
      <c r="BH7" s="5">
        <v>39</v>
      </c>
      <c r="BI7" s="5">
        <v>40</v>
      </c>
      <c r="BJ7" s="5">
        <v>41</v>
      </c>
      <c r="BK7" s="5">
        <v>42</v>
      </c>
      <c r="BL7" s="5">
        <v>43</v>
      </c>
      <c r="BM7" s="5">
        <v>44</v>
      </c>
      <c r="BN7" s="5">
        <v>45</v>
      </c>
      <c r="BO7" s="5">
        <v>46</v>
      </c>
      <c r="BP7" s="5">
        <v>47</v>
      </c>
      <c r="BQ7" s="5">
        <v>48</v>
      </c>
      <c r="BR7" s="5">
        <v>49</v>
      </c>
      <c r="BS7" s="5">
        <v>50</v>
      </c>
      <c r="BT7" s="5">
        <v>51</v>
      </c>
      <c r="BU7" s="5">
        <v>52</v>
      </c>
      <c r="BV7" s="5">
        <v>53</v>
      </c>
      <c r="BW7" s="5">
        <v>54</v>
      </c>
    </row>
    <row r="8" spans="1:87" ht="12.75" customHeight="1">
      <c r="A8" s="8">
        <f>IF(G7="","",IF(G7&lt;31,G7+1,""))</f>
        <v>8</v>
      </c>
      <c r="B8" s="5">
        <f aca="true" t="shared" si="2" ref="B8:G12">IF(A8="","",IF(A8&lt;31,A8+1,""))</f>
        <v>9</v>
      </c>
      <c r="C8" s="5">
        <f t="shared" si="2"/>
        <v>10</v>
      </c>
      <c r="D8" s="5">
        <f t="shared" si="2"/>
        <v>11</v>
      </c>
      <c r="E8" s="5">
        <f t="shared" si="2"/>
        <v>12</v>
      </c>
      <c r="F8" s="5">
        <f t="shared" si="2"/>
        <v>13</v>
      </c>
      <c r="G8" s="5">
        <f t="shared" si="2"/>
        <v>14</v>
      </c>
      <c r="H8" s="34"/>
      <c r="I8" s="8">
        <f>IF(O7="","",IF(O7&lt;31,O7+1,""))</f>
        <v>2</v>
      </c>
      <c r="J8" s="5">
        <f aca="true" t="shared" si="3" ref="J8:O12">IF(I8="","",IF(I8&lt;31,I8+1,""))</f>
        <v>3</v>
      </c>
      <c r="K8" s="5">
        <f t="shared" si="3"/>
        <v>4</v>
      </c>
      <c r="L8" s="5">
        <f t="shared" si="3"/>
        <v>5</v>
      </c>
      <c r="M8" s="5">
        <f t="shared" si="3"/>
        <v>6</v>
      </c>
      <c r="N8" s="5">
        <f t="shared" si="3"/>
        <v>7</v>
      </c>
      <c r="O8" s="5">
        <f t="shared" si="3"/>
        <v>8</v>
      </c>
      <c r="Q8" t="s">
        <v>2168</v>
      </c>
      <c r="R8" s="32" t="s">
        <v>2174</v>
      </c>
      <c r="S8" s="15"/>
      <c r="U8" s="1" t="s">
        <v>234</v>
      </c>
      <c r="V8" s="241" t="s">
        <v>912</v>
      </c>
      <c r="W8" s="242" t="s">
        <v>547</v>
      </c>
      <c r="X8" s="2" t="s">
        <v>12</v>
      </c>
      <c r="Y8" s="2" t="s">
        <v>2174</v>
      </c>
      <c r="Z8" s="241" t="s">
        <v>716</v>
      </c>
      <c r="AA8" s="241" t="s">
        <v>875</v>
      </c>
      <c r="AB8" s="241" t="s">
        <v>739</v>
      </c>
      <c r="AC8" s="241" t="s">
        <v>620</v>
      </c>
      <c r="AD8" s="2" t="s">
        <v>2227</v>
      </c>
      <c r="AE8" s="241" t="s">
        <v>812</v>
      </c>
      <c r="AF8" s="241" t="s">
        <v>292</v>
      </c>
      <c r="AG8" s="241" t="s">
        <v>242</v>
      </c>
      <c r="AH8" s="2" t="s">
        <v>1352</v>
      </c>
      <c r="AI8" s="241" t="s">
        <v>921</v>
      </c>
      <c r="AJ8" s="2" t="s">
        <v>1174</v>
      </c>
      <c r="AK8" s="241" t="s">
        <v>243</v>
      </c>
      <c r="AL8" s="241" t="s">
        <v>235</v>
      </c>
      <c r="AM8" s="2" t="s">
        <v>1126</v>
      </c>
      <c r="AN8" s="241" t="s">
        <v>652</v>
      </c>
      <c r="AO8" s="241" t="s">
        <v>306</v>
      </c>
      <c r="AP8" s="241" t="s">
        <v>759</v>
      </c>
      <c r="AQ8" s="2" t="s">
        <v>1050</v>
      </c>
      <c r="AR8" s="241" t="s">
        <v>396</v>
      </c>
      <c r="AS8" s="2" t="s">
        <v>2011</v>
      </c>
      <c r="AT8" s="241" t="s">
        <v>800</v>
      </c>
      <c r="AU8" s="241" t="s">
        <v>293</v>
      </c>
      <c r="AV8" s="241" t="s">
        <v>295</v>
      </c>
      <c r="AW8" s="241" t="s">
        <v>883</v>
      </c>
      <c r="AX8" s="241" t="s">
        <v>881</v>
      </c>
      <c r="AY8" s="241" t="s">
        <v>627</v>
      </c>
      <c r="AZ8" s="2" t="s">
        <v>525</v>
      </c>
      <c r="BA8" s="241" t="s">
        <v>274</v>
      </c>
      <c r="BB8" s="241" t="s">
        <v>702</v>
      </c>
      <c r="BC8" s="2" t="s">
        <v>1316</v>
      </c>
      <c r="BD8" s="2" t="s">
        <v>25</v>
      </c>
      <c r="BE8" s="2" t="s">
        <v>500</v>
      </c>
      <c r="BF8" s="241" t="s">
        <v>411</v>
      </c>
      <c r="BG8" s="241" t="s">
        <v>294</v>
      </c>
      <c r="BH8" s="241" t="s">
        <v>854</v>
      </c>
      <c r="BI8" s="241" t="s">
        <v>606</v>
      </c>
      <c r="BJ8" s="2" t="s">
        <v>1996</v>
      </c>
      <c r="BK8" s="241" t="s">
        <v>846</v>
      </c>
      <c r="BL8" s="2" t="s">
        <v>460</v>
      </c>
      <c r="BM8" s="2" t="s">
        <v>2228</v>
      </c>
      <c r="BN8" s="241" t="s">
        <v>633</v>
      </c>
      <c r="BO8" s="2" t="s">
        <v>2226</v>
      </c>
      <c r="BP8" s="241" t="s">
        <v>619</v>
      </c>
      <c r="BQ8" s="241" t="s">
        <v>291</v>
      </c>
      <c r="BR8" s="2" t="s">
        <v>1154</v>
      </c>
      <c r="BS8" s="241" t="s">
        <v>874</v>
      </c>
      <c r="BT8" s="241" t="s">
        <v>701</v>
      </c>
      <c r="BU8" s="2" t="s">
        <v>2229</v>
      </c>
      <c r="BV8" s="241" t="s">
        <v>638</v>
      </c>
      <c r="BW8" s="243" t="s">
        <v>1081</v>
      </c>
      <c r="BX8" s="15"/>
      <c r="BZ8" t="s">
        <v>980</v>
      </c>
      <c r="CA8" s="2" t="s">
        <v>880</v>
      </c>
      <c r="CC8" s="32" t="s">
        <v>2307</v>
      </c>
      <c r="CF8" s="32" t="s">
        <v>2156</v>
      </c>
      <c r="CI8" s="32" t="s">
        <v>2189</v>
      </c>
    </row>
    <row r="9" spans="1:79" ht="12.75" customHeight="1">
      <c r="A9" s="8">
        <f>IF(G8="","",IF(G8&lt;31,G8+1,""))</f>
        <v>15</v>
      </c>
      <c r="B9" s="5">
        <f t="shared" si="2"/>
        <v>16</v>
      </c>
      <c r="C9" s="5">
        <f t="shared" si="2"/>
        <v>17</v>
      </c>
      <c r="D9" s="5">
        <f t="shared" si="2"/>
        <v>18</v>
      </c>
      <c r="E9" s="5">
        <f t="shared" si="2"/>
        <v>19</v>
      </c>
      <c r="F9" s="5">
        <f t="shared" si="2"/>
        <v>20</v>
      </c>
      <c r="G9" s="5">
        <f t="shared" si="2"/>
        <v>21</v>
      </c>
      <c r="H9" s="34"/>
      <c r="I9" s="8">
        <f>IF(O8="","",IF(O8&lt;31,O8+1,""))</f>
        <v>9</v>
      </c>
      <c r="J9" s="5">
        <f t="shared" si="3"/>
        <v>10</v>
      </c>
      <c r="K9" s="5">
        <f t="shared" si="3"/>
        <v>11</v>
      </c>
      <c r="L9" s="5">
        <f t="shared" si="3"/>
        <v>12</v>
      </c>
      <c r="M9" s="5">
        <f t="shared" si="3"/>
        <v>13</v>
      </c>
      <c r="N9" s="5">
        <f t="shared" si="3"/>
        <v>14</v>
      </c>
      <c r="O9" s="5">
        <f t="shared" si="3"/>
        <v>15</v>
      </c>
      <c r="Q9" t="s">
        <v>673</v>
      </c>
      <c r="R9" s="62" t="s">
        <v>716</v>
      </c>
      <c r="S9" s="15"/>
      <c r="U9" s="1">
        <v>1</v>
      </c>
      <c r="V9" s="15" t="s">
        <v>913</v>
      </c>
      <c r="W9" s="239" t="s">
        <v>528</v>
      </c>
      <c r="X9" s="32" t="s">
        <v>14</v>
      </c>
      <c r="Y9" s="32" t="s">
        <v>2169</v>
      </c>
      <c r="Z9" s="15" t="s">
        <v>676</v>
      </c>
      <c r="AA9" s="15" t="s">
        <v>876</v>
      </c>
      <c r="AB9" s="15" t="s">
        <v>741</v>
      </c>
      <c r="AC9" s="15" t="s">
        <v>621</v>
      </c>
      <c r="AD9" t="s">
        <v>2230</v>
      </c>
      <c r="AE9" s="15" t="s">
        <v>813</v>
      </c>
      <c r="AF9" s="15" t="s">
        <v>307</v>
      </c>
      <c r="AG9" s="15" t="s">
        <v>244</v>
      </c>
      <c r="AH9" s="32" t="s">
        <v>1349</v>
      </c>
      <c r="AI9" s="15" t="s">
        <v>923</v>
      </c>
      <c r="AJ9" s="35" t="s">
        <v>1179</v>
      </c>
      <c r="AK9" s="1" t="s">
        <v>237</v>
      </c>
      <c r="AL9" s="15" t="s">
        <v>170</v>
      </c>
      <c r="AM9" t="s">
        <v>1127</v>
      </c>
      <c r="AN9" s="15" t="s">
        <v>659</v>
      </c>
      <c r="AO9" s="15" t="s">
        <v>312</v>
      </c>
      <c r="AP9" s="15" t="s">
        <v>757</v>
      </c>
      <c r="AQ9" t="s">
        <v>170</v>
      </c>
      <c r="AR9" s="15" t="s">
        <v>403</v>
      </c>
      <c r="AS9" s="32" t="s">
        <v>2012</v>
      </c>
      <c r="AT9" s="15" t="s">
        <v>796</v>
      </c>
      <c r="AU9" s="15" t="s">
        <v>329</v>
      </c>
      <c r="AV9" s="15" t="s">
        <v>213</v>
      </c>
      <c r="AW9" s="15" t="s">
        <v>885</v>
      </c>
      <c r="AX9" s="15" t="s">
        <v>905</v>
      </c>
      <c r="AY9" s="15" t="s">
        <v>386</v>
      </c>
      <c r="AZ9" s="32" t="s">
        <v>521</v>
      </c>
      <c r="BA9" s="15" t="s">
        <v>275</v>
      </c>
      <c r="BB9" s="15" t="s">
        <v>307</v>
      </c>
      <c r="BC9" s="71" t="s">
        <v>1315</v>
      </c>
      <c r="BD9" s="32" t="s">
        <v>36</v>
      </c>
      <c r="BE9" s="32" t="s">
        <v>481</v>
      </c>
      <c r="BF9" s="15" t="s">
        <v>414</v>
      </c>
      <c r="BG9" s="15" t="s">
        <v>170</v>
      </c>
      <c r="BH9" s="15" t="s">
        <v>848</v>
      </c>
      <c r="BI9" s="15" t="s">
        <v>607</v>
      </c>
      <c r="BJ9" s="32" t="s">
        <v>237</v>
      </c>
      <c r="BK9" s="66" t="s">
        <v>170</v>
      </c>
      <c r="BL9" s="32" t="s">
        <v>461</v>
      </c>
      <c r="BM9" t="s">
        <v>2231</v>
      </c>
      <c r="BN9" s="15" t="s">
        <v>634</v>
      </c>
      <c r="BO9" t="s">
        <v>170</v>
      </c>
      <c r="BP9" s="15" t="s">
        <v>367</v>
      </c>
      <c r="BQ9" s="15" t="s">
        <v>296</v>
      </c>
      <c r="BR9" t="s">
        <v>1153</v>
      </c>
      <c r="BS9" s="15" t="s">
        <v>614</v>
      </c>
      <c r="BT9" s="15" t="s">
        <v>683</v>
      </c>
      <c r="BU9" t="s">
        <v>2232</v>
      </c>
      <c r="BV9" s="15" t="s">
        <v>639</v>
      </c>
      <c r="BW9" s="60" t="s">
        <v>1064</v>
      </c>
      <c r="BX9" s="15"/>
      <c r="BZ9" t="s">
        <v>981</v>
      </c>
      <c r="CA9" s="32" t="s">
        <v>2161</v>
      </c>
    </row>
    <row r="10" spans="1:83" ht="12.75" customHeight="1">
      <c r="A10" s="8">
        <f>IF(G9="","",IF(G9&lt;31,G9+1,""))</f>
        <v>22</v>
      </c>
      <c r="B10" s="5">
        <f t="shared" si="2"/>
        <v>23</v>
      </c>
      <c r="C10" s="5">
        <f t="shared" si="2"/>
        <v>24</v>
      </c>
      <c r="D10" s="5">
        <f t="shared" si="2"/>
        <v>25</v>
      </c>
      <c r="E10" s="5">
        <f t="shared" si="2"/>
        <v>26</v>
      </c>
      <c r="F10" s="5">
        <f t="shared" si="2"/>
        <v>27</v>
      </c>
      <c r="G10" s="5">
        <f t="shared" si="2"/>
        <v>28</v>
      </c>
      <c r="H10" s="34"/>
      <c r="I10" s="8">
        <f>IF(O9="","",IF(O9&lt;31,O9+1,""))</f>
        <v>16</v>
      </c>
      <c r="J10" s="5">
        <f t="shared" si="3"/>
        <v>17</v>
      </c>
      <c r="K10" s="5">
        <f t="shared" si="3"/>
        <v>18</v>
      </c>
      <c r="L10" s="5">
        <f t="shared" si="3"/>
        <v>19</v>
      </c>
      <c r="M10" s="5">
        <f t="shared" si="3"/>
        <v>20</v>
      </c>
      <c r="N10" s="5">
        <f t="shared" si="3"/>
        <v>21</v>
      </c>
      <c r="O10" s="5">
        <f t="shared" si="3"/>
        <v>22</v>
      </c>
      <c r="Q10" t="s">
        <v>867</v>
      </c>
      <c r="R10" s="62" t="s">
        <v>875</v>
      </c>
      <c r="S10" s="15"/>
      <c r="U10" s="1">
        <v>2</v>
      </c>
      <c r="V10" s="15" t="s">
        <v>281</v>
      </c>
      <c r="W10" s="239" t="s">
        <v>529</v>
      </c>
      <c r="X10" s="32" t="s">
        <v>15</v>
      </c>
      <c r="Y10" s="32" t="s">
        <v>2170</v>
      </c>
      <c r="Z10" s="15" t="s">
        <v>674</v>
      </c>
      <c r="AA10" s="15" t="s">
        <v>877</v>
      </c>
      <c r="AB10" s="15" t="s">
        <v>742</v>
      </c>
      <c r="AC10" s="15" t="s">
        <v>622</v>
      </c>
      <c r="AD10" t="s">
        <v>608</v>
      </c>
      <c r="AE10" s="15" t="s">
        <v>776</v>
      </c>
      <c r="AF10" s="15" t="s">
        <v>308</v>
      </c>
      <c r="AG10" s="15" t="s">
        <v>245</v>
      </c>
      <c r="AH10" s="32" t="s">
        <v>1351</v>
      </c>
      <c r="AI10" s="15" t="s">
        <v>924</v>
      </c>
      <c r="AJ10" s="35" t="s">
        <v>1167</v>
      </c>
      <c r="AK10" s="1" t="s">
        <v>238</v>
      </c>
      <c r="AL10" s="15" t="s">
        <v>171</v>
      </c>
      <c r="AM10" t="s">
        <v>1128</v>
      </c>
      <c r="AN10" s="15" t="s">
        <v>653</v>
      </c>
      <c r="AO10" s="15" t="s">
        <v>313</v>
      </c>
      <c r="AP10" s="15" t="s">
        <v>791</v>
      </c>
      <c r="AQ10" t="s">
        <v>1051</v>
      </c>
      <c r="AR10" s="15" t="s">
        <v>397</v>
      </c>
      <c r="AS10" s="32" t="s">
        <v>330</v>
      </c>
      <c r="AT10" s="15" t="s">
        <v>795</v>
      </c>
      <c r="AU10" s="15" t="s">
        <v>330</v>
      </c>
      <c r="AV10" s="15" t="s">
        <v>214</v>
      </c>
      <c r="AW10" s="15" t="s">
        <v>886</v>
      </c>
      <c r="AX10" s="15" t="s">
        <v>906</v>
      </c>
      <c r="AY10" s="15" t="s">
        <v>387</v>
      </c>
      <c r="AZ10" s="32" t="s">
        <v>516</v>
      </c>
      <c r="BA10" s="15" t="s">
        <v>281</v>
      </c>
      <c r="BB10" s="15" t="s">
        <v>308</v>
      </c>
      <c r="BC10" s="71" t="s">
        <v>1310</v>
      </c>
      <c r="BD10" s="32" t="s">
        <v>171</v>
      </c>
      <c r="BE10" s="32" t="s">
        <v>482</v>
      </c>
      <c r="BF10" s="15" t="s">
        <v>417</v>
      </c>
      <c r="BG10" s="15" t="s">
        <v>345</v>
      </c>
      <c r="BH10" s="15" t="s">
        <v>847</v>
      </c>
      <c r="BI10" s="15" t="s">
        <v>608</v>
      </c>
      <c r="BJ10" s="32" t="s">
        <v>1990</v>
      </c>
      <c r="BK10" s="15" t="s">
        <v>828</v>
      </c>
      <c r="BL10" s="32" t="s">
        <v>462</v>
      </c>
      <c r="BM10" t="s">
        <v>2233</v>
      </c>
      <c r="BN10" s="15" t="s">
        <v>635</v>
      </c>
      <c r="BO10" t="s">
        <v>171</v>
      </c>
      <c r="BP10" s="15" t="s">
        <v>368</v>
      </c>
      <c r="BQ10" s="15" t="s">
        <v>297</v>
      </c>
      <c r="BR10" t="s">
        <v>1148</v>
      </c>
      <c r="BS10" s="15" t="s">
        <v>171</v>
      </c>
      <c r="BT10" s="15" t="s">
        <v>684</v>
      </c>
      <c r="BU10" t="s">
        <v>2234</v>
      </c>
      <c r="BV10" s="15" t="s">
        <v>640</v>
      </c>
      <c r="BW10" s="60" t="s">
        <v>1065</v>
      </c>
      <c r="BX10" s="15"/>
      <c r="BZ10" t="s">
        <v>982</v>
      </c>
      <c r="CA10" s="32" t="s">
        <v>2162</v>
      </c>
      <c r="CE10" s="32" t="s">
        <v>281</v>
      </c>
    </row>
    <row r="11" spans="1:87" ht="12.75" customHeight="1">
      <c r="A11" s="8">
        <f>IF(G10="","",IF(G10&lt;31,G10+1,""))</f>
        <v>29</v>
      </c>
      <c r="B11" s="5">
        <f t="shared" si="2"/>
        <v>30</v>
      </c>
      <c r="C11" s="5">
        <f t="shared" si="2"/>
        <v>31</v>
      </c>
      <c r="D11" s="5">
        <f t="shared" si="2"/>
      </c>
      <c r="E11" s="5">
        <f t="shared" si="2"/>
      </c>
      <c r="F11" s="5">
        <f t="shared" si="2"/>
      </c>
      <c r="G11" s="5">
        <f t="shared" si="2"/>
      </c>
      <c r="H11" s="34"/>
      <c r="I11" s="8">
        <f>IF(O10="","",IF(O10&lt;31,O10+1,""))</f>
        <v>23</v>
      </c>
      <c r="J11" s="5">
        <f t="shared" si="3"/>
        <v>24</v>
      </c>
      <c r="K11" s="5">
        <f t="shared" si="3"/>
        <v>25</v>
      </c>
      <c r="L11" s="5">
        <f t="shared" si="3"/>
        <v>26</v>
      </c>
      <c r="M11" s="5">
        <f t="shared" si="3"/>
        <v>27</v>
      </c>
      <c r="N11" s="5">
        <f t="shared" si="3"/>
        <v>28</v>
      </c>
      <c r="O11" s="5">
        <f t="shared" si="3"/>
        <v>29</v>
      </c>
      <c r="Q11" t="s">
        <v>740</v>
      </c>
      <c r="R11" s="62" t="s">
        <v>739</v>
      </c>
      <c r="S11" s="15"/>
      <c r="U11" s="1">
        <v>3</v>
      </c>
      <c r="V11" s="15" t="s">
        <v>276</v>
      </c>
      <c r="W11" s="239" t="s">
        <v>530</v>
      </c>
      <c r="X11" s="32" t="s">
        <v>16</v>
      </c>
      <c r="Y11" s="32" t="s">
        <v>172</v>
      </c>
      <c r="Z11" s="15" t="s">
        <v>675</v>
      </c>
      <c r="AA11" s="15" t="s">
        <v>868</v>
      </c>
      <c r="AB11" s="15" t="s">
        <v>743</v>
      </c>
      <c r="AC11" s="15" t="s">
        <v>623</v>
      </c>
      <c r="AD11" t="s">
        <v>609</v>
      </c>
      <c r="AE11" s="15" t="s">
        <v>777</v>
      </c>
      <c r="AF11" s="15" t="s">
        <v>309</v>
      </c>
      <c r="AG11" s="15" t="s">
        <v>246</v>
      </c>
      <c r="AH11" s="32" t="s">
        <v>1345</v>
      </c>
      <c r="AI11" s="15" t="s">
        <v>925</v>
      </c>
      <c r="AJ11" s="35" t="s">
        <v>1169</v>
      </c>
      <c r="AK11" s="1" t="s">
        <v>239</v>
      </c>
      <c r="AL11" s="15" t="s">
        <v>172</v>
      </c>
      <c r="AM11" t="s">
        <v>1129</v>
      </c>
      <c r="AN11" s="15" t="s">
        <v>654</v>
      </c>
      <c r="AO11" s="15" t="s">
        <v>314</v>
      </c>
      <c r="AP11" s="15" t="s">
        <v>792</v>
      </c>
      <c r="AQ11" t="s">
        <v>172</v>
      </c>
      <c r="AR11" s="15" t="s">
        <v>398</v>
      </c>
      <c r="AS11" s="32" t="s">
        <v>331</v>
      </c>
      <c r="AT11" s="15" t="s">
        <v>823</v>
      </c>
      <c r="AU11" s="15" t="s">
        <v>331</v>
      </c>
      <c r="AV11" s="15" t="s">
        <v>215</v>
      </c>
      <c r="AW11" s="15" t="s">
        <v>887</v>
      </c>
      <c r="AX11" s="15" t="s">
        <v>907</v>
      </c>
      <c r="AY11" s="15" t="s">
        <v>628</v>
      </c>
      <c r="AZ11" s="32" t="s">
        <v>523</v>
      </c>
      <c r="BA11" s="15" t="s">
        <v>276</v>
      </c>
      <c r="BB11" s="15" t="s">
        <v>309</v>
      </c>
      <c r="BC11" s="71" t="s">
        <v>1311</v>
      </c>
      <c r="BD11" s="32" t="s">
        <v>28</v>
      </c>
      <c r="BE11" s="32" t="s">
        <v>483</v>
      </c>
      <c r="BF11" s="15" t="s">
        <v>418</v>
      </c>
      <c r="BG11" s="15" t="s">
        <v>346</v>
      </c>
      <c r="BH11" s="15" t="s">
        <v>849</v>
      </c>
      <c r="BI11" s="15" t="s">
        <v>609</v>
      </c>
      <c r="BJ11" s="32" t="s">
        <v>1991</v>
      </c>
      <c r="BK11" s="15" t="s">
        <v>829</v>
      </c>
      <c r="BL11" s="32" t="s">
        <v>463</v>
      </c>
      <c r="BM11" t="s">
        <v>2235</v>
      </c>
      <c r="BN11" s="15" t="s">
        <v>398</v>
      </c>
      <c r="BO11" t="s">
        <v>172</v>
      </c>
      <c r="BP11" s="15" t="s">
        <v>369</v>
      </c>
      <c r="BQ11" s="15" t="s">
        <v>298</v>
      </c>
      <c r="BR11" t="s">
        <v>1149</v>
      </c>
      <c r="BS11" s="15" t="s">
        <v>172</v>
      </c>
      <c r="BT11" s="15" t="s">
        <v>685</v>
      </c>
      <c r="BU11" t="s">
        <v>2236</v>
      </c>
      <c r="BV11" s="15" t="s">
        <v>641</v>
      </c>
      <c r="BW11" s="60" t="s">
        <v>1066</v>
      </c>
      <c r="BX11" s="15"/>
      <c r="BZ11" t="s">
        <v>983</v>
      </c>
      <c r="CA11" s="32" t="s">
        <v>2163</v>
      </c>
      <c r="CE11" s="32" t="s">
        <v>503</v>
      </c>
      <c r="CI11" s="32" t="s">
        <v>2193</v>
      </c>
    </row>
    <row r="12" spans="1:79" ht="12.75" customHeight="1">
      <c r="A12" s="8">
        <f>IF(G11="","",IF(G11&lt;31,G11+1,""))</f>
      </c>
      <c r="B12" s="5">
        <f t="shared" si="2"/>
      </c>
      <c r="C12" s="5">
        <f t="shared" si="2"/>
      </c>
      <c r="D12" s="5">
        <f t="shared" si="2"/>
      </c>
      <c r="E12" s="5">
        <f t="shared" si="2"/>
      </c>
      <c r="F12" s="5">
        <f t="shared" si="2"/>
      </c>
      <c r="G12" s="5">
        <f t="shared" si="2"/>
      </c>
      <c r="H12" s="34"/>
      <c r="I12" s="8">
        <f>IF(O11="","",IF(O11&lt;31,O11+1,""))</f>
        <v>30</v>
      </c>
      <c r="J12" s="5">
        <f t="shared" si="3"/>
        <v>31</v>
      </c>
      <c r="K12" s="5">
        <f t="shared" si="3"/>
      </c>
      <c r="L12" s="5">
        <f t="shared" si="3"/>
      </c>
      <c r="M12" s="5">
        <f t="shared" si="3"/>
      </c>
      <c r="N12" s="5">
        <f t="shared" si="3"/>
      </c>
      <c r="O12" s="5">
        <f t="shared" si="3"/>
      </c>
      <c r="Q12" t="s">
        <v>570</v>
      </c>
      <c r="R12" s="62" t="s">
        <v>620</v>
      </c>
      <c r="S12" s="15"/>
      <c r="U12" s="1">
        <v>4</v>
      </c>
      <c r="V12" s="15" t="s">
        <v>277</v>
      </c>
      <c r="W12" s="239" t="s">
        <v>531</v>
      </c>
      <c r="X12" s="32" t="s">
        <v>17</v>
      </c>
      <c r="Y12" s="32" t="s">
        <v>173</v>
      </c>
      <c r="Z12" s="15" t="s">
        <v>677</v>
      </c>
      <c r="AA12" s="15" t="s">
        <v>878</v>
      </c>
      <c r="AB12" s="15" t="s">
        <v>744</v>
      </c>
      <c r="AC12" s="15" t="s">
        <v>624</v>
      </c>
      <c r="AD12" t="s">
        <v>2238</v>
      </c>
      <c r="AE12" s="15" t="s">
        <v>778</v>
      </c>
      <c r="AF12" s="15" t="s">
        <v>299</v>
      </c>
      <c r="AG12" s="15" t="s">
        <v>247</v>
      </c>
      <c r="AH12" s="32" t="s">
        <v>1348</v>
      </c>
      <c r="AI12" s="15" t="s">
        <v>926</v>
      </c>
      <c r="AJ12" s="35" t="s">
        <v>1178</v>
      </c>
      <c r="AK12" s="1" t="s">
        <v>272</v>
      </c>
      <c r="AL12" s="15" t="s">
        <v>173</v>
      </c>
      <c r="AM12" t="s">
        <v>1130</v>
      </c>
      <c r="AN12" s="15" t="s">
        <v>655</v>
      </c>
      <c r="AO12" s="15" t="s">
        <v>315</v>
      </c>
      <c r="AP12" s="15" t="s">
        <v>793</v>
      </c>
      <c r="AQ12" t="s">
        <v>1052</v>
      </c>
      <c r="AR12" s="15" t="s">
        <v>399</v>
      </c>
      <c r="AS12" s="32" t="s">
        <v>2013</v>
      </c>
      <c r="AT12" s="15" t="s">
        <v>822</v>
      </c>
      <c r="AU12" s="15" t="s">
        <v>332</v>
      </c>
      <c r="AV12" s="15" t="s">
        <v>219</v>
      </c>
      <c r="AW12" s="15" t="s">
        <v>888</v>
      </c>
      <c r="AX12" s="15" t="s">
        <v>908</v>
      </c>
      <c r="AY12" s="15" t="s">
        <v>629</v>
      </c>
      <c r="AZ12" s="32" t="s">
        <v>524</v>
      </c>
      <c r="BA12" s="15" t="s">
        <v>277</v>
      </c>
      <c r="BB12" s="15" t="s">
        <v>299</v>
      </c>
      <c r="BC12" s="71" t="s">
        <v>1312</v>
      </c>
      <c r="BD12" s="32" t="s">
        <v>31</v>
      </c>
      <c r="BE12" s="32" t="s">
        <v>484</v>
      </c>
      <c r="BF12" s="15" t="s">
        <v>416</v>
      </c>
      <c r="BG12" s="15" t="s">
        <v>347</v>
      </c>
      <c r="BH12" s="15" t="s">
        <v>850</v>
      </c>
      <c r="BI12" s="15" t="s">
        <v>610</v>
      </c>
      <c r="BJ12" s="32" t="s">
        <v>1992</v>
      </c>
      <c r="BK12" s="15" t="s">
        <v>830</v>
      </c>
      <c r="BL12" s="32" t="s">
        <v>464</v>
      </c>
      <c r="BM12" t="s">
        <v>624</v>
      </c>
      <c r="BN12" s="15" t="s">
        <v>636</v>
      </c>
      <c r="BO12" t="s">
        <v>2237</v>
      </c>
      <c r="BP12" s="15" t="s">
        <v>370</v>
      </c>
      <c r="BQ12" s="15" t="s">
        <v>299</v>
      </c>
      <c r="BR12" t="s">
        <v>1150</v>
      </c>
      <c r="BS12" s="15" t="s">
        <v>615</v>
      </c>
      <c r="BT12" s="15" t="s">
        <v>686</v>
      </c>
      <c r="BU12" t="s">
        <v>2239</v>
      </c>
      <c r="BV12" s="15" t="s">
        <v>642</v>
      </c>
      <c r="BW12" s="60" t="s">
        <v>1067</v>
      </c>
      <c r="BX12" s="15"/>
      <c r="BZ12" s="40" t="s">
        <v>998</v>
      </c>
      <c r="CA12" s="258" t="s">
        <v>2164</v>
      </c>
    </row>
    <row r="13" spans="8:87" ht="12.75" customHeight="1">
      <c r="H13" s="34"/>
      <c r="Q13" t="s">
        <v>2220</v>
      </c>
      <c r="R13" s="32" t="s">
        <v>2227</v>
      </c>
      <c r="S13" s="32"/>
      <c r="U13" s="1">
        <v>5</v>
      </c>
      <c r="V13" s="15" t="s">
        <v>278</v>
      </c>
      <c r="W13" s="239" t="s">
        <v>532</v>
      </c>
      <c r="X13" s="32" t="s">
        <v>18</v>
      </c>
      <c r="Y13" s="32" t="s">
        <v>2171</v>
      </c>
      <c r="Z13" s="15" t="s">
        <v>678</v>
      </c>
      <c r="AA13" s="15" t="s">
        <v>869</v>
      </c>
      <c r="AB13" s="15" t="s">
        <v>745</v>
      </c>
      <c r="AC13" s="15" t="s">
        <v>625</v>
      </c>
      <c r="AD13" t="s">
        <v>2240</v>
      </c>
      <c r="AE13" s="15" t="s">
        <v>786</v>
      </c>
      <c r="AF13" s="15" t="s">
        <v>300</v>
      </c>
      <c r="AG13" s="15" t="s">
        <v>248</v>
      </c>
      <c r="AH13" s="32" t="s">
        <v>1346</v>
      </c>
      <c r="AI13" s="15" t="s">
        <v>927</v>
      </c>
      <c r="AJ13" s="35" t="s">
        <v>1175</v>
      </c>
      <c r="AK13" s="1" t="s">
        <v>273</v>
      </c>
      <c r="AL13" s="15" t="s">
        <v>174</v>
      </c>
      <c r="AM13" t="s">
        <v>1131</v>
      </c>
      <c r="AN13" s="15" t="s">
        <v>656</v>
      </c>
      <c r="AO13" s="15" t="s">
        <v>316</v>
      </c>
      <c r="AP13" s="15" t="s">
        <v>760</v>
      </c>
      <c r="AQ13" t="s">
        <v>1053</v>
      </c>
      <c r="AR13" s="15" t="s">
        <v>400</v>
      </c>
      <c r="AS13" s="32" t="s">
        <v>2014</v>
      </c>
      <c r="AT13" s="15" t="s">
        <v>799</v>
      </c>
      <c r="AU13" s="15" t="s">
        <v>333</v>
      </c>
      <c r="AV13" s="15" t="s">
        <v>216</v>
      </c>
      <c r="AW13" s="15" t="s">
        <v>889</v>
      </c>
      <c r="AX13" s="15" t="s">
        <v>909</v>
      </c>
      <c r="AY13" s="15" t="s">
        <v>630</v>
      </c>
      <c r="AZ13" s="32" t="s">
        <v>522</v>
      </c>
      <c r="BA13" s="15" t="s">
        <v>278</v>
      </c>
      <c r="BB13" s="15" t="s">
        <v>300</v>
      </c>
      <c r="BC13" s="71" t="s">
        <v>1313</v>
      </c>
      <c r="BD13" s="32" t="s">
        <v>41</v>
      </c>
      <c r="BE13" s="32" t="s">
        <v>485</v>
      </c>
      <c r="BF13" s="15" t="s">
        <v>415</v>
      </c>
      <c r="BG13" s="15" t="s">
        <v>348</v>
      </c>
      <c r="BH13" s="15" t="s">
        <v>851</v>
      </c>
      <c r="BI13" s="15" t="s">
        <v>611</v>
      </c>
      <c r="BJ13" s="32" t="s">
        <v>1993</v>
      </c>
      <c r="BK13" s="15" t="s">
        <v>830</v>
      </c>
      <c r="BL13" s="32" t="s">
        <v>476</v>
      </c>
      <c r="BM13" t="s">
        <v>2241</v>
      </c>
      <c r="BN13" s="15" t="s">
        <v>400</v>
      </c>
      <c r="BO13" t="s">
        <v>616</v>
      </c>
      <c r="BP13" s="15" t="s">
        <v>371</v>
      </c>
      <c r="BQ13" s="15" t="s">
        <v>300</v>
      </c>
      <c r="BR13" t="s">
        <v>1151</v>
      </c>
      <c r="BS13" s="15" t="s">
        <v>616</v>
      </c>
      <c r="BT13" s="15" t="s">
        <v>687</v>
      </c>
      <c r="BU13" t="s">
        <v>2242</v>
      </c>
      <c r="BV13" s="15" t="s">
        <v>643</v>
      </c>
      <c r="BW13" s="60" t="s">
        <v>1068</v>
      </c>
      <c r="BX13" s="15"/>
      <c r="BZ13" t="s">
        <v>984</v>
      </c>
      <c r="CA13" s="32" t="s">
        <v>2165</v>
      </c>
      <c r="CI13" s="32" t="s">
        <v>2194</v>
      </c>
    </row>
    <row r="14" spans="4:87" ht="12.75">
      <c r="D14" s="2" t="str">
        <f>VLOOKUP(2,$U$18:$BW$29,$I$1)&amp;" "&amp;$E$1</f>
        <v>Febrero 2023</v>
      </c>
      <c r="H14" s="34"/>
      <c r="L14" s="2" t="str">
        <f>VLOOKUP(8,$U$18:$BW$29,$I$1)&amp;" "&amp;$E$1</f>
        <v>Agosto 2023</v>
      </c>
      <c r="Q14" t="s">
        <v>789</v>
      </c>
      <c r="R14" s="62" t="s">
        <v>812</v>
      </c>
      <c r="S14" s="15"/>
      <c r="U14" s="1">
        <v>6</v>
      </c>
      <c r="V14" s="15" t="s">
        <v>914</v>
      </c>
      <c r="W14" s="239" t="s">
        <v>533</v>
      </c>
      <c r="X14" s="32" t="s">
        <v>19</v>
      </c>
      <c r="Y14" s="32" t="s">
        <v>2173</v>
      </c>
      <c r="Z14" s="15" t="s">
        <v>679</v>
      </c>
      <c r="AA14" s="15" t="s">
        <v>879</v>
      </c>
      <c r="AB14" s="15" t="s">
        <v>746</v>
      </c>
      <c r="AC14" s="15" t="s">
        <v>626</v>
      </c>
      <c r="AD14" t="s">
        <v>2243</v>
      </c>
      <c r="AE14" s="15" t="s">
        <v>787</v>
      </c>
      <c r="AF14" s="15" t="s">
        <v>301</v>
      </c>
      <c r="AG14" s="15" t="s">
        <v>249</v>
      </c>
      <c r="AH14" s="32" t="s">
        <v>1347</v>
      </c>
      <c r="AI14" s="15" t="s">
        <v>928</v>
      </c>
      <c r="AJ14" s="35" t="s">
        <v>1184</v>
      </c>
      <c r="AK14" s="1" t="s">
        <v>240</v>
      </c>
      <c r="AL14" s="15" t="s">
        <v>175</v>
      </c>
      <c r="AM14" t="s">
        <v>1132</v>
      </c>
      <c r="AN14" s="15" t="s">
        <v>657</v>
      </c>
      <c r="AO14" s="15" t="s">
        <v>317</v>
      </c>
      <c r="AP14" s="15" t="s">
        <v>761</v>
      </c>
      <c r="AQ14" t="s">
        <v>1054</v>
      </c>
      <c r="AR14" s="15" t="s">
        <v>401</v>
      </c>
      <c r="AS14" s="32" t="s">
        <v>334</v>
      </c>
      <c r="AT14" s="15" t="s">
        <v>797</v>
      </c>
      <c r="AU14" s="15" t="s">
        <v>334</v>
      </c>
      <c r="AV14" s="15" t="s">
        <v>217</v>
      </c>
      <c r="AW14" s="15" t="s">
        <v>890</v>
      </c>
      <c r="AX14" s="15" t="s">
        <v>910</v>
      </c>
      <c r="AY14" s="15" t="s">
        <v>631</v>
      </c>
      <c r="AZ14" s="32" t="s">
        <v>510</v>
      </c>
      <c r="BA14" s="15" t="s">
        <v>280</v>
      </c>
      <c r="BB14" s="15" t="s">
        <v>301</v>
      </c>
      <c r="BC14" s="71" t="s">
        <v>1314</v>
      </c>
      <c r="BD14" s="32" t="s">
        <v>29</v>
      </c>
      <c r="BE14" s="32" t="s">
        <v>486</v>
      </c>
      <c r="BF14" s="15" t="s">
        <v>413</v>
      </c>
      <c r="BG14" s="15" t="s">
        <v>349</v>
      </c>
      <c r="BH14" s="15" t="s">
        <v>852</v>
      </c>
      <c r="BI14" s="15" t="s">
        <v>612</v>
      </c>
      <c r="BJ14" s="32" t="s">
        <v>240</v>
      </c>
      <c r="BK14" s="15" t="s">
        <v>831</v>
      </c>
      <c r="BL14" s="32" t="s">
        <v>465</v>
      </c>
      <c r="BM14" t="s">
        <v>2244</v>
      </c>
      <c r="BN14" s="15" t="s">
        <v>401</v>
      </c>
      <c r="BO14" t="s">
        <v>617</v>
      </c>
      <c r="BP14" s="15" t="s">
        <v>372</v>
      </c>
      <c r="BQ14" s="15" t="s">
        <v>301</v>
      </c>
      <c r="BR14" t="s">
        <v>1152</v>
      </c>
      <c r="BS14" s="15" t="s">
        <v>617</v>
      </c>
      <c r="BT14" s="15" t="s">
        <v>688</v>
      </c>
      <c r="BU14" t="s">
        <v>2245</v>
      </c>
      <c r="BV14" s="15" t="s">
        <v>644</v>
      </c>
      <c r="BW14" s="60" t="s">
        <v>1069</v>
      </c>
      <c r="BX14" s="15"/>
      <c r="BZ14" t="s">
        <v>985</v>
      </c>
      <c r="CA14" s="32" t="s">
        <v>2166</v>
      </c>
      <c r="CI14" s="32" t="s">
        <v>2195</v>
      </c>
    </row>
    <row r="15" spans="1:79" ht="16.5" customHeight="1">
      <c r="A15" s="11" t="str">
        <f>$A$6</f>
        <v>Domingo</v>
      </c>
      <c r="B15" s="12" t="str">
        <f>$B$6</f>
        <v>Lunes</v>
      </c>
      <c r="C15" s="12" t="str">
        <f>$C$6</f>
        <v>Martes</v>
      </c>
      <c r="D15" s="12" t="str">
        <f>$D$6</f>
        <v>Miércoles</v>
      </c>
      <c r="E15" s="12" t="str">
        <f>$E$6</f>
        <v>Jueves</v>
      </c>
      <c r="F15" s="12" t="str">
        <f>$F$6</f>
        <v>Viernes</v>
      </c>
      <c r="G15" s="12" t="str">
        <f>$G$6</f>
        <v>Sábado</v>
      </c>
      <c r="H15" s="12"/>
      <c r="I15" s="11" t="str">
        <f>$A$6</f>
        <v>Domingo</v>
      </c>
      <c r="J15" s="12" t="str">
        <f>$B$6</f>
        <v>Lunes</v>
      </c>
      <c r="K15" s="12" t="str">
        <f>$C$6</f>
        <v>Martes</v>
      </c>
      <c r="L15" s="12" t="str">
        <f>$D$6</f>
        <v>Miércoles</v>
      </c>
      <c r="M15" s="12" t="str">
        <f>$E$6</f>
        <v>Jueves</v>
      </c>
      <c r="N15" s="12" t="str">
        <f>$F$6</f>
        <v>Viernes</v>
      </c>
      <c r="O15" s="12" t="str">
        <f>$G$6</f>
        <v>Sábado</v>
      </c>
      <c r="P15" s="7"/>
      <c r="Q15" t="s">
        <v>392</v>
      </c>
      <c r="R15" s="62" t="s">
        <v>292</v>
      </c>
      <c r="T15" s="7"/>
      <c r="U15" s="1">
        <v>7</v>
      </c>
      <c r="V15" s="15" t="s">
        <v>915</v>
      </c>
      <c r="W15" s="239" t="s">
        <v>534</v>
      </c>
      <c r="X15" s="32" t="s">
        <v>20</v>
      </c>
      <c r="Y15" s="32" t="s">
        <v>2172</v>
      </c>
      <c r="Z15" s="15" t="s">
        <v>680</v>
      </c>
      <c r="AA15" s="15" t="s">
        <v>870</v>
      </c>
      <c r="AB15" s="15" t="s">
        <v>747</v>
      </c>
      <c r="AC15" s="15" t="s">
        <v>412</v>
      </c>
      <c r="AD15" t="s">
        <v>2246</v>
      </c>
      <c r="AE15" s="15" t="s">
        <v>788</v>
      </c>
      <c r="AF15" s="15" t="s">
        <v>310</v>
      </c>
      <c r="AG15" s="15" t="s">
        <v>250</v>
      </c>
      <c r="AH15" s="32" t="s">
        <v>1350</v>
      </c>
      <c r="AI15" s="15" t="s">
        <v>929</v>
      </c>
      <c r="AJ15" s="35" t="s">
        <v>1181</v>
      </c>
      <c r="AK15" s="1" t="s">
        <v>241</v>
      </c>
      <c r="AL15" s="15" t="s">
        <v>176</v>
      </c>
      <c r="AM15" t="s">
        <v>335</v>
      </c>
      <c r="AN15" s="15" t="s">
        <v>658</v>
      </c>
      <c r="AO15" s="15" t="s">
        <v>318</v>
      </c>
      <c r="AP15" s="15" t="s">
        <v>762</v>
      </c>
      <c r="AQ15" t="s">
        <v>176</v>
      </c>
      <c r="AR15" s="15" t="s">
        <v>402</v>
      </c>
      <c r="AS15" s="32" t="s">
        <v>1070</v>
      </c>
      <c r="AT15" s="15" t="s">
        <v>798</v>
      </c>
      <c r="AU15" s="15" t="s">
        <v>335</v>
      </c>
      <c r="AV15" s="15" t="s">
        <v>218</v>
      </c>
      <c r="AW15" s="15" t="s">
        <v>891</v>
      </c>
      <c r="AX15" s="15" t="s">
        <v>911</v>
      </c>
      <c r="AY15" s="15" t="s">
        <v>632</v>
      </c>
      <c r="AZ15" s="32" t="s">
        <v>519</v>
      </c>
      <c r="BA15" s="15" t="s">
        <v>279</v>
      </c>
      <c r="BB15" s="15" t="s">
        <v>310</v>
      </c>
      <c r="BC15" s="71" t="s">
        <v>747</v>
      </c>
      <c r="BD15" s="32" t="s">
        <v>34</v>
      </c>
      <c r="BE15" s="32" t="s">
        <v>487</v>
      </c>
      <c r="BF15" s="15" t="s">
        <v>412</v>
      </c>
      <c r="BG15" s="15" t="s">
        <v>176</v>
      </c>
      <c r="BH15" s="15" t="s">
        <v>853</v>
      </c>
      <c r="BI15" s="15" t="s">
        <v>613</v>
      </c>
      <c r="BJ15" s="32" t="s">
        <v>1994</v>
      </c>
      <c r="BK15" s="66" t="s">
        <v>176</v>
      </c>
      <c r="BL15" s="32" t="s">
        <v>466</v>
      </c>
      <c r="BM15" t="s">
        <v>412</v>
      </c>
      <c r="BN15" s="15" t="s">
        <v>402</v>
      </c>
      <c r="BO15" t="s">
        <v>618</v>
      </c>
      <c r="BP15" s="15" t="s">
        <v>373</v>
      </c>
      <c r="BQ15" s="15" t="s">
        <v>302</v>
      </c>
      <c r="BR15" t="s">
        <v>1155</v>
      </c>
      <c r="BS15" s="15" t="s">
        <v>618</v>
      </c>
      <c r="BT15" s="15" t="s">
        <v>689</v>
      </c>
      <c r="BU15" t="s">
        <v>2247</v>
      </c>
      <c r="BV15" s="15" t="s">
        <v>650</v>
      </c>
      <c r="BW15" s="60" t="s">
        <v>1070</v>
      </c>
      <c r="BX15" s="15"/>
      <c r="BZ15" t="s">
        <v>986</v>
      </c>
      <c r="CA15" s="32" t="s">
        <v>2167</v>
      </c>
    </row>
    <row r="16" spans="1:75" ht="12.75" customHeight="1">
      <c r="A16" s="9">
        <f>IF($O$1+31+INT(-($O$1+31)/7+1)*7=A$2,1,"")</f>
      </c>
      <c r="B16" s="9">
        <f aca="true" t="shared" si="4" ref="B16:G16">IF($O$1+31+INT(-($O$1+31)/7+1)*7=B$2,1,IF(A16&lt;&gt;"",A16+1,""))</f>
      </c>
      <c r="C16" s="9">
        <f t="shared" si="4"/>
      </c>
      <c r="D16" s="9">
        <f t="shared" si="4"/>
        <v>1</v>
      </c>
      <c r="E16" s="9">
        <f t="shared" si="4"/>
        <v>2</v>
      </c>
      <c r="F16" s="9">
        <f t="shared" si="4"/>
        <v>3</v>
      </c>
      <c r="G16" s="9">
        <f t="shared" si="4"/>
        <v>4</v>
      </c>
      <c r="H16" s="9"/>
      <c r="I16" s="13">
        <f>IF($O$1+212+$L$1+INT(-($O$1+212+$L$1)/7+1)*7=I$2,1,"")</f>
      </c>
      <c r="J16" s="9">
        <f aca="true" t="shared" si="5" ref="J16:O16">IF($O$1+212+$L$1+INT(-($O$1+212+$L$1)/7+1)*7=J$2,1,IF(I16&lt;&gt;"",I16+1,""))</f>
      </c>
      <c r="K16" s="9">
        <f t="shared" si="5"/>
        <v>1</v>
      </c>
      <c r="L16" s="9">
        <f t="shared" si="5"/>
        <v>2</v>
      </c>
      <c r="M16" s="9">
        <f t="shared" si="5"/>
        <v>3</v>
      </c>
      <c r="N16" s="9">
        <f t="shared" si="5"/>
        <v>4</v>
      </c>
      <c r="O16" s="9">
        <f t="shared" si="5"/>
        <v>5</v>
      </c>
      <c r="P16" s="3"/>
      <c r="Q16" t="s">
        <v>389</v>
      </c>
      <c r="R16" s="62" t="s">
        <v>242</v>
      </c>
      <c r="S16" s="15"/>
      <c r="T16" s="3"/>
      <c r="U16">
        <v>1</v>
      </c>
      <c r="V16" s="5">
        <v>1</v>
      </c>
      <c r="W16" s="5">
        <v>2</v>
      </c>
      <c r="X16" s="5">
        <v>3</v>
      </c>
      <c r="Y16" s="5">
        <v>4</v>
      </c>
      <c r="Z16" s="5">
        <v>5</v>
      </c>
      <c r="AA16" s="5">
        <v>6</v>
      </c>
      <c r="AB16" s="5">
        <v>7</v>
      </c>
      <c r="AC16" s="5">
        <v>8</v>
      </c>
      <c r="AD16" s="5">
        <v>9</v>
      </c>
      <c r="AE16" s="5">
        <v>10</v>
      </c>
      <c r="AF16" s="5">
        <v>11</v>
      </c>
      <c r="AG16" s="5">
        <v>12</v>
      </c>
      <c r="AH16" s="5">
        <v>13</v>
      </c>
      <c r="AI16" s="5">
        <v>14</v>
      </c>
      <c r="AJ16" s="5">
        <v>15</v>
      </c>
      <c r="AK16" s="5">
        <v>16</v>
      </c>
      <c r="AL16" s="5">
        <v>17</v>
      </c>
      <c r="AM16" s="5">
        <v>18</v>
      </c>
      <c r="AN16" s="5">
        <v>19</v>
      </c>
      <c r="AO16" s="5">
        <v>20</v>
      </c>
      <c r="AP16" s="5">
        <v>21</v>
      </c>
      <c r="AQ16" s="5">
        <v>22</v>
      </c>
      <c r="AR16" s="5">
        <v>23</v>
      </c>
      <c r="AS16" s="5">
        <v>24</v>
      </c>
      <c r="AT16" s="5">
        <v>25</v>
      </c>
      <c r="AU16" s="5">
        <v>26</v>
      </c>
      <c r="AV16" s="5">
        <v>27</v>
      </c>
      <c r="AW16" s="5">
        <v>28</v>
      </c>
      <c r="AX16" s="5">
        <v>29</v>
      </c>
      <c r="AY16" s="5">
        <v>30</v>
      </c>
      <c r="AZ16" s="5">
        <v>31</v>
      </c>
      <c r="BA16" s="5">
        <v>32</v>
      </c>
      <c r="BB16" s="5">
        <v>33</v>
      </c>
      <c r="BC16" s="5">
        <v>34</v>
      </c>
      <c r="BD16" s="5">
        <v>35</v>
      </c>
      <c r="BE16" s="5">
        <v>36</v>
      </c>
      <c r="BF16" s="5">
        <v>37</v>
      </c>
      <c r="BG16" s="5">
        <v>38</v>
      </c>
      <c r="BH16" s="5">
        <v>39</v>
      </c>
      <c r="BI16" s="5">
        <v>40</v>
      </c>
      <c r="BJ16" s="5">
        <v>41</v>
      </c>
      <c r="BK16" s="5">
        <v>42</v>
      </c>
      <c r="BL16" s="5">
        <v>43</v>
      </c>
      <c r="BM16" s="5">
        <v>44</v>
      </c>
      <c r="BN16" s="5">
        <v>45</v>
      </c>
      <c r="BO16" s="5">
        <v>46</v>
      </c>
      <c r="BP16" s="5">
        <v>47</v>
      </c>
      <c r="BQ16" s="5">
        <v>48</v>
      </c>
      <c r="BR16" s="5">
        <v>49</v>
      </c>
      <c r="BS16" s="5">
        <v>50</v>
      </c>
      <c r="BT16" s="5">
        <v>51</v>
      </c>
      <c r="BU16" s="5">
        <v>52</v>
      </c>
      <c r="BV16" s="5">
        <v>53</v>
      </c>
      <c r="BW16" s="5">
        <v>54</v>
      </c>
    </row>
    <row r="17" spans="1:23" ht="12.75" customHeight="1">
      <c r="A17" s="8">
        <f>IF(G16="","",IF(G16&lt;IF($L$1=1,29,28),G16+1,""))</f>
        <v>5</v>
      </c>
      <c r="B17" s="5">
        <f aca="true" t="shared" si="6" ref="B17:G20">IF(A17="","",IF(A17&lt;IF($L$1=1,29,28),A17+1,""))</f>
        <v>6</v>
      </c>
      <c r="C17" s="5">
        <f t="shared" si="6"/>
        <v>7</v>
      </c>
      <c r="D17" s="5">
        <f t="shared" si="6"/>
        <v>8</v>
      </c>
      <c r="E17" s="5">
        <f t="shared" si="6"/>
        <v>9</v>
      </c>
      <c r="F17" s="5">
        <f t="shared" si="6"/>
        <v>10</v>
      </c>
      <c r="G17" s="5">
        <f t="shared" si="6"/>
        <v>11</v>
      </c>
      <c r="H17" s="5"/>
      <c r="I17" s="10">
        <f>IF(O16="","",IF(O16&lt;31,O16+1,""))</f>
        <v>6</v>
      </c>
      <c r="J17" s="5">
        <f aca="true" t="shared" si="7" ref="J17:O21">IF(I17="","",IF(I17&lt;31,I17+1,""))</f>
        <v>7</v>
      </c>
      <c r="K17" s="5">
        <f t="shared" si="7"/>
        <v>8</v>
      </c>
      <c r="L17" s="5">
        <f t="shared" si="7"/>
        <v>9</v>
      </c>
      <c r="M17" s="5">
        <f t="shared" si="7"/>
        <v>10</v>
      </c>
      <c r="N17" s="5">
        <f t="shared" si="7"/>
        <v>11</v>
      </c>
      <c r="O17" s="5">
        <f t="shared" si="7"/>
        <v>12</v>
      </c>
      <c r="Q17" t="s">
        <v>1331</v>
      </c>
      <c r="R17" s="32" t="s">
        <v>1352</v>
      </c>
      <c r="S17" s="15"/>
      <c r="U17" t="s">
        <v>251</v>
      </c>
      <c r="W17" s="240"/>
    </row>
    <row r="18" spans="1:81" ht="12.75" customHeight="1">
      <c r="A18" s="8">
        <f>IF(G17="","",IF(G17&lt;IF($L$1=1,29,28),G17+1,""))</f>
        <v>12</v>
      </c>
      <c r="B18" s="5">
        <f t="shared" si="6"/>
        <v>13</v>
      </c>
      <c r="C18" s="5">
        <f t="shared" si="6"/>
        <v>14</v>
      </c>
      <c r="D18" s="5">
        <f t="shared" si="6"/>
        <v>15</v>
      </c>
      <c r="E18" s="5">
        <f t="shared" si="6"/>
        <v>16</v>
      </c>
      <c r="F18" s="5">
        <f t="shared" si="6"/>
        <v>17</v>
      </c>
      <c r="G18" s="5">
        <f t="shared" si="6"/>
        <v>18</v>
      </c>
      <c r="H18" s="5"/>
      <c r="I18" s="10">
        <f>IF(O17="","",IF(O17&lt;31,O17+1,""))</f>
        <v>13</v>
      </c>
      <c r="J18" s="5">
        <f t="shared" si="7"/>
        <v>14</v>
      </c>
      <c r="K18" s="5">
        <f t="shared" si="7"/>
        <v>15</v>
      </c>
      <c r="L18" s="5">
        <f t="shared" si="7"/>
        <v>16</v>
      </c>
      <c r="M18" s="5">
        <f t="shared" si="7"/>
        <v>17</v>
      </c>
      <c r="N18" s="5">
        <f t="shared" si="7"/>
        <v>18</v>
      </c>
      <c r="O18" s="5">
        <f t="shared" si="7"/>
        <v>19</v>
      </c>
      <c r="Q18" t="s">
        <v>922</v>
      </c>
      <c r="R18" s="62" t="s">
        <v>921</v>
      </c>
      <c r="U18">
        <v>1</v>
      </c>
      <c r="V18" t="s">
        <v>948</v>
      </c>
      <c r="W18" s="239" t="s">
        <v>535</v>
      </c>
      <c r="X18" s="32" t="s">
        <v>23</v>
      </c>
      <c r="Y18" s="32" t="s">
        <v>2175</v>
      </c>
      <c r="Z18" t="s">
        <v>681</v>
      </c>
      <c r="AA18" t="s">
        <v>286</v>
      </c>
      <c r="AB18" t="s">
        <v>751</v>
      </c>
      <c r="AC18" t="s">
        <v>574</v>
      </c>
      <c r="AD18" t="s">
        <v>2248</v>
      </c>
      <c r="AE18" t="s">
        <v>790</v>
      </c>
      <c r="AF18" t="s">
        <v>264</v>
      </c>
      <c r="AG18" t="s">
        <v>264</v>
      </c>
      <c r="AH18" s="32" t="s">
        <v>1332</v>
      </c>
      <c r="AI18" t="s">
        <v>950</v>
      </c>
      <c r="AJ18" s="35" t="s">
        <v>1176</v>
      </c>
      <c r="AK18" t="s">
        <v>252</v>
      </c>
      <c r="AL18" t="s">
        <v>189</v>
      </c>
      <c r="AM18" t="s">
        <v>1133</v>
      </c>
      <c r="AN18" t="s">
        <v>661</v>
      </c>
      <c r="AO18" t="s">
        <v>319</v>
      </c>
      <c r="AP18" t="s">
        <v>763</v>
      </c>
      <c r="AQ18" t="s">
        <v>1049</v>
      </c>
      <c r="AR18" t="s">
        <v>582</v>
      </c>
      <c r="AS18" s="32" t="s">
        <v>2015</v>
      </c>
      <c r="AT18" t="s">
        <v>814</v>
      </c>
      <c r="AU18" t="s">
        <v>336</v>
      </c>
      <c r="AV18" t="s">
        <v>360</v>
      </c>
      <c r="AW18" t="s">
        <v>893</v>
      </c>
      <c r="AX18" t="s">
        <v>958</v>
      </c>
      <c r="AY18" t="s">
        <v>552</v>
      </c>
      <c r="AZ18" s="32" t="s">
        <v>511</v>
      </c>
      <c r="BA18" t="s">
        <v>286</v>
      </c>
      <c r="BB18" t="s">
        <v>264</v>
      </c>
      <c r="BC18" s="32" t="s">
        <v>1304</v>
      </c>
      <c r="BD18" s="32" t="s">
        <v>30</v>
      </c>
      <c r="BE18" s="32" t="s">
        <v>488</v>
      </c>
      <c r="BF18" t="s">
        <v>420</v>
      </c>
      <c r="BG18" t="s">
        <v>350</v>
      </c>
      <c r="BH18" t="s">
        <v>855</v>
      </c>
      <c r="BI18" t="s">
        <v>563</v>
      </c>
      <c r="BJ18" s="32" t="s">
        <v>264</v>
      </c>
      <c r="BK18" t="s">
        <v>836</v>
      </c>
      <c r="BL18" s="32" t="s">
        <v>477</v>
      </c>
      <c r="BM18" t="s">
        <v>2249</v>
      </c>
      <c r="BN18" t="s">
        <v>264</v>
      </c>
      <c r="BO18" t="s">
        <v>189</v>
      </c>
      <c r="BP18" t="s">
        <v>374</v>
      </c>
      <c r="BQ18" t="s">
        <v>286</v>
      </c>
      <c r="BR18" t="s">
        <v>286</v>
      </c>
      <c r="BS18" t="s">
        <v>189</v>
      </c>
      <c r="BT18" t="s">
        <v>690</v>
      </c>
      <c r="BU18" t="s">
        <v>2250</v>
      </c>
      <c r="BV18" t="s">
        <v>645</v>
      </c>
      <c r="BW18" s="60" t="s">
        <v>1082</v>
      </c>
      <c r="BX18" s="15"/>
      <c r="BZ18" t="s">
        <v>989</v>
      </c>
      <c r="CC18" s="32" t="s">
        <v>2000</v>
      </c>
    </row>
    <row r="19" spans="1:81" ht="12.75" customHeight="1">
      <c r="A19" s="8">
        <f>IF(G18="","",IF(G18&lt;IF($L$1=1,29,28),G18+1,""))</f>
        <v>19</v>
      </c>
      <c r="B19" s="5">
        <f t="shared" si="6"/>
        <v>20</v>
      </c>
      <c r="C19" s="5">
        <f t="shared" si="6"/>
        <v>21</v>
      </c>
      <c r="D19" s="5">
        <f t="shared" si="6"/>
        <v>22</v>
      </c>
      <c r="E19" s="5">
        <f t="shared" si="6"/>
        <v>23</v>
      </c>
      <c r="F19" s="5">
        <f t="shared" si="6"/>
        <v>24</v>
      </c>
      <c r="G19" s="5">
        <f t="shared" si="6"/>
        <v>25</v>
      </c>
      <c r="H19" s="5"/>
      <c r="I19" s="8">
        <f>IF(O18="","",IF(O18&lt;31,O18+1,""))</f>
        <v>20</v>
      </c>
      <c r="J19" s="5">
        <f t="shared" si="7"/>
        <v>21</v>
      </c>
      <c r="K19" s="5">
        <f t="shared" si="7"/>
        <v>22</v>
      </c>
      <c r="L19" s="5">
        <f t="shared" si="7"/>
        <v>23</v>
      </c>
      <c r="M19" s="5">
        <f t="shared" si="7"/>
        <v>24</v>
      </c>
      <c r="N19" s="5">
        <f t="shared" si="7"/>
        <v>25</v>
      </c>
      <c r="O19" s="5">
        <f t="shared" si="7"/>
        <v>26</v>
      </c>
      <c r="Q19" t="s">
        <v>1186</v>
      </c>
      <c r="R19" s="32" t="s">
        <v>1174</v>
      </c>
      <c r="S19" s="15"/>
      <c r="U19">
        <v>2</v>
      </c>
      <c r="V19" t="s">
        <v>562</v>
      </c>
      <c r="W19" s="239" t="s">
        <v>536</v>
      </c>
      <c r="X19" t="s">
        <v>265</v>
      </c>
      <c r="Y19" s="32" t="s">
        <v>2176</v>
      </c>
      <c r="Z19" t="s">
        <v>715</v>
      </c>
      <c r="AA19" t="s">
        <v>287</v>
      </c>
      <c r="AB19" t="s">
        <v>750</v>
      </c>
      <c r="AC19" t="s">
        <v>578</v>
      </c>
      <c r="AD19" t="s">
        <v>2251</v>
      </c>
      <c r="AE19" t="s">
        <v>801</v>
      </c>
      <c r="AF19" t="s">
        <v>265</v>
      </c>
      <c r="AG19" t="s">
        <v>265</v>
      </c>
      <c r="AH19" s="32" t="s">
        <v>1333</v>
      </c>
      <c r="AI19" t="s">
        <v>951</v>
      </c>
      <c r="AJ19" s="108" t="s">
        <v>504</v>
      </c>
      <c r="AK19" t="s">
        <v>253</v>
      </c>
      <c r="AL19" t="s">
        <v>199</v>
      </c>
      <c r="AM19" t="s">
        <v>1134</v>
      </c>
      <c r="AN19" t="s">
        <v>662</v>
      </c>
      <c r="AO19" t="s">
        <v>320</v>
      </c>
      <c r="AP19" t="s">
        <v>764</v>
      </c>
      <c r="AQ19" t="s">
        <v>199</v>
      </c>
      <c r="AR19" t="s">
        <v>583</v>
      </c>
      <c r="AS19" s="32" t="s">
        <v>2016</v>
      </c>
      <c r="AT19" t="s">
        <v>815</v>
      </c>
      <c r="AU19" t="s">
        <v>337</v>
      </c>
      <c r="AV19" t="s">
        <v>361</v>
      </c>
      <c r="AW19" t="s">
        <v>894</v>
      </c>
      <c r="AX19" t="s">
        <v>959</v>
      </c>
      <c r="AY19" t="s">
        <v>551</v>
      </c>
      <c r="AZ19" s="32" t="s">
        <v>509</v>
      </c>
      <c r="BA19" t="s">
        <v>287</v>
      </c>
      <c r="BB19" t="s">
        <v>265</v>
      </c>
      <c r="BC19" s="32" t="s">
        <v>1305</v>
      </c>
      <c r="BD19" s="32" t="s">
        <v>40</v>
      </c>
      <c r="BE19" s="32" t="s">
        <v>489</v>
      </c>
      <c r="BF19" t="s">
        <v>421</v>
      </c>
      <c r="BG19" t="s">
        <v>351</v>
      </c>
      <c r="BH19" t="s">
        <v>856</v>
      </c>
      <c r="BI19" t="s">
        <v>562</v>
      </c>
      <c r="BJ19" s="32" t="s">
        <v>265</v>
      </c>
      <c r="BK19" t="s">
        <v>837</v>
      </c>
      <c r="BL19" s="32" t="s">
        <v>478</v>
      </c>
      <c r="BM19" t="s">
        <v>2252</v>
      </c>
      <c r="BN19" t="s">
        <v>265</v>
      </c>
      <c r="BO19" t="s">
        <v>598</v>
      </c>
      <c r="BP19" t="s">
        <v>375</v>
      </c>
      <c r="BQ19" t="s">
        <v>287</v>
      </c>
      <c r="BR19" t="s">
        <v>287</v>
      </c>
      <c r="BS19" t="s">
        <v>598</v>
      </c>
      <c r="BT19" t="s">
        <v>691</v>
      </c>
      <c r="BU19" t="s">
        <v>2253</v>
      </c>
      <c r="BV19" t="s">
        <v>265</v>
      </c>
      <c r="BW19" s="60" t="s">
        <v>1083</v>
      </c>
      <c r="BX19" s="15"/>
      <c r="BZ19" t="s">
        <v>990</v>
      </c>
      <c r="CC19" s="32" t="s">
        <v>1333</v>
      </c>
    </row>
    <row r="20" spans="1:81" ht="12.75" customHeight="1">
      <c r="A20" s="8">
        <f>IF(G19="","",IF(G19&lt;IF($L$1=1,29,28),G19+1,""))</f>
        <v>26</v>
      </c>
      <c r="B20" s="5">
        <f t="shared" si="6"/>
        <v>27</v>
      </c>
      <c r="C20" s="5">
        <f t="shared" si="6"/>
        <v>28</v>
      </c>
      <c r="D20" s="5">
        <f t="shared" si="6"/>
      </c>
      <c r="E20" s="5">
        <f t="shared" si="6"/>
      </c>
      <c r="F20" s="5">
        <f t="shared" si="6"/>
      </c>
      <c r="G20" s="5">
        <f t="shared" si="6"/>
      </c>
      <c r="H20" s="5"/>
      <c r="I20" s="10">
        <f>IF(O19="","",IF(O19&lt;31,O19+1,""))</f>
        <v>27</v>
      </c>
      <c r="J20" s="5">
        <f t="shared" si="7"/>
        <v>28</v>
      </c>
      <c r="K20" s="5">
        <f t="shared" si="7"/>
        <v>29</v>
      </c>
      <c r="L20" s="5">
        <f t="shared" si="7"/>
        <v>30</v>
      </c>
      <c r="M20" s="5">
        <f t="shared" si="7"/>
        <v>31</v>
      </c>
      <c r="N20" s="5">
        <f t="shared" si="7"/>
      </c>
      <c r="O20" s="5">
        <f t="shared" si="7"/>
      </c>
      <c r="Q20" t="s">
        <v>388</v>
      </c>
      <c r="R20" s="62" t="s">
        <v>243</v>
      </c>
      <c r="S20" s="15"/>
      <c r="U20">
        <v>3</v>
      </c>
      <c r="V20" t="s">
        <v>288</v>
      </c>
      <c r="W20" s="239" t="s">
        <v>537</v>
      </c>
      <c r="X20" t="s">
        <v>266</v>
      </c>
      <c r="Y20" s="32" t="s">
        <v>512</v>
      </c>
      <c r="Z20" t="s">
        <v>714</v>
      </c>
      <c r="AA20" t="s">
        <v>871</v>
      </c>
      <c r="AB20" t="s">
        <v>754</v>
      </c>
      <c r="AC20" t="s">
        <v>571</v>
      </c>
      <c r="AD20" t="s">
        <v>512</v>
      </c>
      <c r="AE20" t="s">
        <v>811</v>
      </c>
      <c r="AF20" t="s">
        <v>311</v>
      </c>
      <c r="AG20" t="s">
        <v>266</v>
      </c>
      <c r="AH20" s="32" t="s">
        <v>1334</v>
      </c>
      <c r="AI20" t="s">
        <v>952</v>
      </c>
      <c r="AJ20" s="35" t="s">
        <v>1172</v>
      </c>
      <c r="AK20" t="s">
        <v>254</v>
      </c>
      <c r="AL20" t="s">
        <v>200</v>
      </c>
      <c r="AM20" t="s">
        <v>1135</v>
      </c>
      <c r="AN20" t="s">
        <v>663</v>
      </c>
      <c r="AO20" t="s">
        <v>303</v>
      </c>
      <c r="AP20" t="s">
        <v>765</v>
      </c>
      <c r="AQ20" t="s">
        <v>200</v>
      </c>
      <c r="AR20" t="s">
        <v>584</v>
      </c>
      <c r="AS20" s="32" t="s">
        <v>2017</v>
      </c>
      <c r="AT20" t="s">
        <v>303</v>
      </c>
      <c r="AU20" t="s">
        <v>200</v>
      </c>
      <c r="AV20" t="s">
        <v>362</v>
      </c>
      <c r="AW20" t="s">
        <v>311</v>
      </c>
      <c r="AX20" t="s">
        <v>960</v>
      </c>
      <c r="AY20" t="s">
        <v>556</v>
      </c>
      <c r="AZ20" s="32" t="s">
        <v>512</v>
      </c>
      <c r="BA20" t="s">
        <v>288</v>
      </c>
      <c r="BB20" t="s">
        <v>303</v>
      </c>
      <c r="BC20" s="32" t="s">
        <v>754</v>
      </c>
      <c r="BD20" s="32" t="s">
        <v>303</v>
      </c>
      <c r="BE20" s="32" t="s">
        <v>490</v>
      </c>
      <c r="BF20" t="s">
        <v>422</v>
      </c>
      <c r="BG20" t="s">
        <v>352</v>
      </c>
      <c r="BH20" t="s">
        <v>857</v>
      </c>
      <c r="BI20" t="s">
        <v>566</v>
      </c>
      <c r="BJ20" s="32" t="s">
        <v>1997</v>
      </c>
      <c r="BK20" t="s">
        <v>838</v>
      </c>
      <c r="BL20" s="32" t="s">
        <v>303</v>
      </c>
      <c r="BM20" t="s">
        <v>2254</v>
      </c>
      <c r="BN20" t="s">
        <v>592</v>
      </c>
      <c r="BO20" t="s">
        <v>599</v>
      </c>
      <c r="BP20" t="s">
        <v>376</v>
      </c>
      <c r="BQ20" t="s">
        <v>303</v>
      </c>
      <c r="BR20" t="s">
        <v>1157</v>
      </c>
      <c r="BS20" t="s">
        <v>599</v>
      </c>
      <c r="BT20" t="s">
        <v>592</v>
      </c>
      <c r="BU20" t="s">
        <v>2255</v>
      </c>
      <c r="BV20" t="s">
        <v>311</v>
      </c>
      <c r="BW20" s="60" t="s">
        <v>1084</v>
      </c>
      <c r="BX20" s="15"/>
      <c r="BZ20" t="s">
        <v>254</v>
      </c>
      <c r="CC20" s="32" t="s">
        <v>2001</v>
      </c>
    </row>
    <row r="21" spans="1:81" ht="12.75" customHeight="1">
      <c r="A21" s="8">
        <f>IF(G20="","",IF(G20&lt;28+L1,G20+1,""))</f>
      </c>
      <c r="B21" s="5">
        <f>IF(A21="","",IF(A21&lt;28+L1,A21+1,""))</f>
      </c>
      <c r="C21" s="5">
        <f>IF(B21="","",IF(B21&lt;28+L1,B21+1,""))</f>
      </c>
      <c r="D21" s="5">
        <f>IF(C21="","",IF(C21&lt;28+L1,C21+1,""))</f>
      </c>
      <c r="E21" s="5">
        <f>IF(D21="","",IF(D21&lt;28+L1,D21+1,""))</f>
      </c>
      <c r="F21" s="5">
        <f>IF(E21="","",IF(E21&lt;28+L1,E21+1,""))</f>
      </c>
      <c r="G21" s="5">
        <f>IF(F21="","",IF(F21&lt;28+L1,F21+1,""))</f>
      </c>
      <c r="H21" s="5"/>
      <c r="I21" s="10">
        <f>IF(O20="","",IF(O20&lt;31,O20+1,""))</f>
      </c>
      <c r="J21" s="5">
        <f t="shared" si="7"/>
      </c>
      <c r="K21" s="5">
        <f t="shared" si="7"/>
      </c>
      <c r="L21" s="5">
        <f t="shared" si="7"/>
      </c>
      <c r="M21" s="5">
        <f t="shared" si="7"/>
      </c>
      <c r="N21" s="5">
        <f t="shared" si="7"/>
      </c>
      <c r="O21" s="5">
        <f t="shared" si="7"/>
      </c>
      <c r="Q21" t="s">
        <v>235</v>
      </c>
      <c r="R21" s="62" t="s">
        <v>235</v>
      </c>
      <c r="S21" s="15"/>
      <c r="U21">
        <v>4</v>
      </c>
      <c r="V21" t="s">
        <v>255</v>
      </c>
      <c r="W21" s="239" t="s">
        <v>538</v>
      </c>
      <c r="X21" t="s">
        <v>255</v>
      </c>
      <c r="Y21" s="32" t="s">
        <v>201</v>
      </c>
      <c r="Z21" t="s">
        <v>713</v>
      </c>
      <c r="AA21" t="s">
        <v>255</v>
      </c>
      <c r="AB21" t="s">
        <v>201</v>
      </c>
      <c r="AC21" t="s">
        <v>572</v>
      </c>
      <c r="AD21" t="s">
        <v>338</v>
      </c>
      <c r="AE21" t="s">
        <v>802</v>
      </c>
      <c r="AF21" t="s">
        <v>255</v>
      </c>
      <c r="AG21" t="s">
        <v>255</v>
      </c>
      <c r="AH21" s="32" t="s">
        <v>1335</v>
      </c>
      <c r="AI21" t="s">
        <v>953</v>
      </c>
      <c r="AJ21" s="35" t="s">
        <v>1170</v>
      </c>
      <c r="AK21" t="s">
        <v>255</v>
      </c>
      <c r="AL21" t="s">
        <v>201</v>
      </c>
      <c r="AM21" t="s">
        <v>1136</v>
      </c>
      <c r="AN21" t="s">
        <v>664</v>
      </c>
      <c r="AO21" t="s">
        <v>321</v>
      </c>
      <c r="AP21" t="s">
        <v>766</v>
      </c>
      <c r="AQ21" t="s">
        <v>201</v>
      </c>
      <c r="AR21" t="s">
        <v>585</v>
      </c>
      <c r="AS21" s="32" t="s">
        <v>255</v>
      </c>
      <c r="AT21" t="s">
        <v>816</v>
      </c>
      <c r="AU21" t="s">
        <v>338</v>
      </c>
      <c r="AV21" t="s">
        <v>363</v>
      </c>
      <c r="AW21" t="s">
        <v>363</v>
      </c>
      <c r="AX21" t="s">
        <v>961</v>
      </c>
      <c r="AY21" t="s">
        <v>363</v>
      </c>
      <c r="AZ21" s="32" t="s">
        <v>255</v>
      </c>
      <c r="BA21" t="s">
        <v>255</v>
      </c>
      <c r="BB21" t="s">
        <v>255</v>
      </c>
      <c r="BC21" s="32" t="s">
        <v>201</v>
      </c>
      <c r="BD21" s="32" t="s">
        <v>321</v>
      </c>
      <c r="BE21" s="32" t="s">
        <v>491</v>
      </c>
      <c r="BF21" t="s">
        <v>423</v>
      </c>
      <c r="BG21" t="s">
        <v>201</v>
      </c>
      <c r="BH21" t="s">
        <v>858</v>
      </c>
      <c r="BI21" t="s">
        <v>560</v>
      </c>
      <c r="BJ21" s="32" t="s">
        <v>1998</v>
      </c>
      <c r="BK21" t="s">
        <v>839</v>
      </c>
      <c r="BL21" s="32" t="s">
        <v>469</v>
      </c>
      <c r="BM21" t="s">
        <v>2256</v>
      </c>
      <c r="BN21" t="s">
        <v>255</v>
      </c>
      <c r="BO21" t="s">
        <v>201</v>
      </c>
      <c r="BP21" t="s">
        <v>377</v>
      </c>
      <c r="BQ21" t="s">
        <v>255</v>
      </c>
      <c r="BR21" t="s">
        <v>1158</v>
      </c>
      <c r="BS21" t="s">
        <v>201</v>
      </c>
      <c r="BT21" t="s">
        <v>692</v>
      </c>
      <c r="BU21" t="s">
        <v>2257</v>
      </c>
      <c r="BV21" t="s">
        <v>255</v>
      </c>
      <c r="BW21" s="60" t="s">
        <v>1072</v>
      </c>
      <c r="BX21" s="15"/>
      <c r="BZ21" t="s">
        <v>255</v>
      </c>
      <c r="CC21" s="32" t="s">
        <v>2002</v>
      </c>
    </row>
    <row r="22" spans="1:81" ht="12.75" customHeight="1">
      <c r="A22" s="8"/>
      <c r="B22" s="5"/>
      <c r="C22" s="5"/>
      <c r="D22" s="5"/>
      <c r="E22" s="5"/>
      <c r="F22" s="5"/>
      <c r="G22" s="5"/>
      <c r="H22" s="5"/>
      <c r="I22" s="10"/>
      <c r="J22" s="5"/>
      <c r="K22" s="5"/>
      <c r="L22" s="5"/>
      <c r="M22" s="5"/>
      <c r="N22" s="5"/>
      <c r="O22" s="5"/>
      <c r="Q22" t="s">
        <v>1126</v>
      </c>
      <c r="R22" s="32" t="s">
        <v>1126</v>
      </c>
      <c r="U22">
        <v>5</v>
      </c>
      <c r="V22" t="s">
        <v>289</v>
      </c>
      <c r="W22" s="239" t="s">
        <v>548</v>
      </c>
      <c r="X22" t="s">
        <v>267</v>
      </c>
      <c r="Y22" s="32" t="s">
        <v>2177</v>
      </c>
      <c r="Z22" t="s">
        <v>712</v>
      </c>
      <c r="AA22" t="s">
        <v>289</v>
      </c>
      <c r="AB22" t="s">
        <v>755</v>
      </c>
      <c r="AC22" t="s">
        <v>573</v>
      </c>
      <c r="AD22" t="s">
        <v>2258</v>
      </c>
      <c r="AE22" t="s">
        <v>267</v>
      </c>
      <c r="AF22" t="s">
        <v>304</v>
      </c>
      <c r="AG22" t="s">
        <v>267</v>
      </c>
      <c r="AH22" s="32" t="s">
        <v>1336</v>
      </c>
      <c r="AI22" t="s">
        <v>267</v>
      </c>
      <c r="AJ22" s="35" t="s">
        <v>1177</v>
      </c>
      <c r="AK22" t="s">
        <v>256</v>
      </c>
      <c r="AL22" t="s">
        <v>202</v>
      </c>
      <c r="AM22" t="s">
        <v>1137</v>
      </c>
      <c r="AN22" t="s">
        <v>665</v>
      </c>
      <c r="AO22" t="s">
        <v>267</v>
      </c>
      <c r="AP22" t="s">
        <v>767</v>
      </c>
      <c r="AQ22" t="s">
        <v>353</v>
      </c>
      <c r="AR22" t="s">
        <v>586</v>
      </c>
      <c r="AS22" s="32" t="s">
        <v>353</v>
      </c>
      <c r="AT22" t="s">
        <v>817</v>
      </c>
      <c r="AU22" t="s">
        <v>339</v>
      </c>
      <c r="AV22" t="s">
        <v>364</v>
      </c>
      <c r="AW22" t="s">
        <v>895</v>
      </c>
      <c r="AX22" t="s">
        <v>962</v>
      </c>
      <c r="AY22" t="s">
        <v>555</v>
      </c>
      <c r="AZ22" s="32" t="s">
        <v>513</v>
      </c>
      <c r="BA22" t="s">
        <v>289</v>
      </c>
      <c r="BB22" t="s">
        <v>267</v>
      </c>
      <c r="BC22" s="32" t="s">
        <v>267</v>
      </c>
      <c r="BD22" s="32" t="s">
        <v>32</v>
      </c>
      <c r="BE22" s="32" t="s">
        <v>492</v>
      </c>
      <c r="BF22" t="s">
        <v>304</v>
      </c>
      <c r="BG22" t="s">
        <v>353</v>
      </c>
      <c r="BH22" t="s">
        <v>859</v>
      </c>
      <c r="BI22" t="s">
        <v>267</v>
      </c>
      <c r="BJ22" s="32" t="s">
        <v>991</v>
      </c>
      <c r="BK22" t="s">
        <v>840</v>
      </c>
      <c r="BL22" s="32" t="s">
        <v>470</v>
      </c>
      <c r="BM22" t="s">
        <v>2259</v>
      </c>
      <c r="BN22" t="s">
        <v>304</v>
      </c>
      <c r="BO22" t="s">
        <v>256</v>
      </c>
      <c r="BP22" t="s">
        <v>378</v>
      </c>
      <c r="BQ22" t="s">
        <v>304</v>
      </c>
      <c r="BR22" t="s">
        <v>289</v>
      </c>
      <c r="BS22" t="s">
        <v>202</v>
      </c>
      <c r="BT22" t="s">
        <v>693</v>
      </c>
      <c r="BU22" t="s">
        <v>2260</v>
      </c>
      <c r="BV22" t="s">
        <v>256</v>
      </c>
      <c r="BW22" s="60" t="s">
        <v>1085</v>
      </c>
      <c r="BX22" s="15"/>
      <c r="BZ22" t="s">
        <v>991</v>
      </c>
      <c r="CC22" s="32" t="s">
        <v>2010</v>
      </c>
    </row>
    <row r="23" spans="1:81" ht="12.75" customHeight="1">
      <c r="A23" s="8"/>
      <c r="B23" s="5"/>
      <c r="C23" s="5"/>
      <c r="D23" s="6" t="str">
        <f>VLOOKUP(3,$U$18:$BW29,$I$1)&amp;" "&amp;$E$1</f>
        <v>Marzo 2023</v>
      </c>
      <c r="E23" s="5"/>
      <c r="F23" s="5"/>
      <c r="G23" s="5"/>
      <c r="H23" s="5"/>
      <c r="I23" s="10"/>
      <c r="J23" s="5"/>
      <c r="K23" s="5"/>
      <c r="L23" s="6" t="str">
        <f>VLOOKUP(9,$U$18:$BW$29,$I$1)&amp;" "&amp;$E$1</f>
        <v>Septiembre 2023</v>
      </c>
      <c r="M23" s="5"/>
      <c r="N23" s="5"/>
      <c r="O23" s="5"/>
      <c r="Q23" t="s">
        <v>660</v>
      </c>
      <c r="R23" s="62" t="s">
        <v>652</v>
      </c>
      <c r="S23" s="15"/>
      <c r="U23">
        <v>6</v>
      </c>
      <c r="V23" t="s">
        <v>565</v>
      </c>
      <c r="W23" s="239" t="s">
        <v>539</v>
      </c>
      <c r="X23" t="s">
        <v>268</v>
      </c>
      <c r="Y23" s="32" t="s">
        <v>2178</v>
      </c>
      <c r="Z23" t="s">
        <v>711</v>
      </c>
      <c r="AA23" t="s">
        <v>268</v>
      </c>
      <c r="AB23" t="s">
        <v>753</v>
      </c>
      <c r="AC23" t="s">
        <v>579</v>
      </c>
      <c r="AD23" t="s">
        <v>2261</v>
      </c>
      <c r="AE23" t="s">
        <v>803</v>
      </c>
      <c r="AF23" t="s">
        <v>268</v>
      </c>
      <c r="AG23" t="s">
        <v>268</v>
      </c>
      <c r="AH23" s="32" t="s">
        <v>1337</v>
      </c>
      <c r="AI23" t="s">
        <v>954</v>
      </c>
      <c r="AJ23" s="35" t="s">
        <v>1183</v>
      </c>
      <c r="AK23" t="s">
        <v>257</v>
      </c>
      <c r="AL23" t="s">
        <v>203</v>
      </c>
      <c r="AM23" t="s">
        <v>203</v>
      </c>
      <c r="AN23" t="s">
        <v>666</v>
      </c>
      <c r="AO23" t="s">
        <v>322</v>
      </c>
      <c r="AP23" t="s">
        <v>768</v>
      </c>
      <c r="AQ23" t="s">
        <v>1056</v>
      </c>
      <c r="AR23" t="s">
        <v>587</v>
      </c>
      <c r="AS23" s="32" t="s">
        <v>203</v>
      </c>
      <c r="AT23" t="s">
        <v>818</v>
      </c>
      <c r="AU23" t="s">
        <v>340</v>
      </c>
      <c r="AV23" t="s">
        <v>365</v>
      </c>
      <c r="AW23" t="s">
        <v>896</v>
      </c>
      <c r="AX23" t="s">
        <v>963</v>
      </c>
      <c r="AY23" t="s">
        <v>554</v>
      </c>
      <c r="AZ23" s="32" t="s">
        <v>515</v>
      </c>
      <c r="BA23" t="s">
        <v>268</v>
      </c>
      <c r="BB23" t="s">
        <v>268</v>
      </c>
      <c r="BC23" s="32" t="s">
        <v>1306</v>
      </c>
      <c r="BD23" s="32" t="s">
        <v>39</v>
      </c>
      <c r="BE23" s="32" t="s">
        <v>493</v>
      </c>
      <c r="BF23" t="s">
        <v>424</v>
      </c>
      <c r="BG23" t="s">
        <v>354</v>
      </c>
      <c r="BH23" t="s">
        <v>860</v>
      </c>
      <c r="BI23" t="s">
        <v>565</v>
      </c>
      <c r="BJ23" s="32" t="s">
        <v>322</v>
      </c>
      <c r="BK23" t="s">
        <v>832</v>
      </c>
      <c r="BL23" s="32" t="s">
        <v>471</v>
      </c>
      <c r="BM23" t="s">
        <v>2262</v>
      </c>
      <c r="BN23" t="s">
        <v>405</v>
      </c>
      <c r="BO23" t="s">
        <v>600</v>
      </c>
      <c r="BP23" t="s">
        <v>379</v>
      </c>
      <c r="BQ23" t="s">
        <v>268</v>
      </c>
      <c r="BR23" t="s">
        <v>268</v>
      </c>
      <c r="BS23" t="s">
        <v>600</v>
      </c>
      <c r="BT23" t="s">
        <v>694</v>
      </c>
      <c r="BU23" t="s">
        <v>2263</v>
      </c>
      <c r="BV23" t="s">
        <v>646</v>
      </c>
      <c r="BW23" s="60" t="s">
        <v>1074</v>
      </c>
      <c r="BX23" s="15"/>
      <c r="BZ23" t="s">
        <v>992</v>
      </c>
      <c r="CC23" s="32" t="s">
        <v>2003</v>
      </c>
    </row>
    <row r="24" spans="1:81" ht="16.5" customHeight="1">
      <c r="A24" s="11" t="str">
        <f>$A$6</f>
        <v>Domingo</v>
      </c>
      <c r="B24" s="12" t="str">
        <f>$B$6</f>
        <v>Lunes</v>
      </c>
      <c r="C24" s="12" t="str">
        <f>$C$6</f>
        <v>Martes</v>
      </c>
      <c r="D24" s="12" t="str">
        <f>$D$6</f>
        <v>Miércoles</v>
      </c>
      <c r="E24" s="12" t="str">
        <f>$E$6</f>
        <v>Jueves</v>
      </c>
      <c r="F24" s="12" t="str">
        <f>$F$6</f>
        <v>Viernes</v>
      </c>
      <c r="G24" s="12" t="str">
        <f>$G$6</f>
        <v>Sábado</v>
      </c>
      <c r="H24" s="12"/>
      <c r="I24" s="11" t="str">
        <f>$A$6</f>
        <v>Domingo</v>
      </c>
      <c r="J24" s="12" t="str">
        <f>$B$6</f>
        <v>Lunes</v>
      </c>
      <c r="K24" s="12" t="str">
        <f>$C$6</f>
        <v>Martes</v>
      </c>
      <c r="L24" s="12" t="str">
        <f>$D$6</f>
        <v>Miércoles</v>
      </c>
      <c r="M24" s="12" t="str">
        <f>$E$6</f>
        <v>Jueves</v>
      </c>
      <c r="N24" s="12" t="str">
        <f>$F$6</f>
        <v>Viernes</v>
      </c>
      <c r="O24" s="12" t="str">
        <f>$G$6</f>
        <v>Sábado</v>
      </c>
      <c r="P24" s="7"/>
      <c r="Q24" t="s">
        <v>393</v>
      </c>
      <c r="R24" s="62" t="s">
        <v>306</v>
      </c>
      <c r="S24" s="32"/>
      <c r="T24" s="7"/>
      <c r="U24">
        <v>7</v>
      </c>
      <c r="V24" t="s">
        <v>564</v>
      </c>
      <c r="W24" s="239" t="s">
        <v>540</v>
      </c>
      <c r="X24" t="s">
        <v>269</v>
      </c>
      <c r="Y24" s="32" t="s">
        <v>2179</v>
      </c>
      <c r="Z24" t="s">
        <v>710</v>
      </c>
      <c r="AA24" t="s">
        <v>269</v>
      </c>
      <c r="AB24" t="s">
        <v>752</v>
      </c>
      <c r="AC24" t="s">
        <v>580</v>
      </c>
      <c r="AD24" t="s">
        <v>2264</v>
      </c>
      <c r="AE24" t="s">
        <v>804</v>
      </c>
      <c r="AF24" t="s">
        <v>269</v>
      </c>
      <c r="AG24" t="s">
        <v>269</v>
      </c>
      <c r="AH24" s="32" t="s">
        <v>1338</v>
      </c>
      <c r="AI24" t="s">
        <v>955</v>
      </c>
      <c r="AJ24" s="35" t="s">
        <v>1173</v>
      </c>
      <c r="AK24" t="s">
        <v>258</v>
      </c>
      <c r="AL24" t="s">
        <v>204</v>
      </c>
      <c r="AM24" t="s">
        <v>204</v>
      </c>
      <c r="AN24" t="s">
        <v>667</v>
      </c>
      <c r="AO24" t="s">
        <v>323</v>
      </c>
      <c r="AP24" t="s">
        <v>769</v>
      </c>
      <c r="AQ24" t="s">
        <v>1057</v>
      </c>
      <c r="AR24" t="s">
        <v>588</v>
      </c>
      <c r="AS24" s="32" t="s">
        <v>204</v>
      </c>
      <c r="AT24" t="s">
        <v>819</v>
      </c>
      <c r="AU24" t="s">
        <v>341</v>
      </c>
      <c r="AV24" t="s">
        <v>366</v>
      </c>
      <c r="AW24" t="s">
        <v>897</v>
      </c>
      <c r="AX24" t="s">
        <v>964</v>
      </c>
      <c r="AY24" t="s">
        <v>553</v>
      </c>
      <c r="AZ24" s="32" t="s">
        <v>514</v>
      </c>
      <c r="BA24" t="s">
        <v>269</v>
      </c>
      <c r="BB24" t="s">
        <v>269</v>
      </c>
      <c r="BC24" s="32" t="s">
        <v>1307</v>
      </c>
      <c r="BD24" s="32" t="s">
        <v>38</v>
      </c>
      <c r="BE24" s="32" t="s">
        <v>494</v>
      </c>
      <c r="BF24" t="s">
        <v>425</v>
      </c>
      <c r="BG24" t="s">
        <v>355</v>
      </c>
      <c r="BH24" t="s">
        <v>861</v>
      </c>
      <c r="BI24" t="s">
        <v>564</v>
      </c>
      <c r="BJ24" s="32" t="s">
        <v>564</v>
      </c>
      <c r="BK24" t="s">
        <v>833</v>
      </c>
      <c r="BL24" s="32" t="s">
        <v>472</v>
      </c>
      <c r="BM24" t="s">
        <v>2265</v>
      </c>
      <c r="BN24" t="s">
        <v>406</v>
      </c>
      <c r="BO24" t="s">
        <v>601</v>
      </c>
      <c r="BP24" t="s">
        <v>380</v>
      </c>
      <c r="BQ24" t="s">
        <v>269</v>
      </c>
      <c r="BR24" t="s">
        <v>1159</v>
      </c>
      <c r="BS24" t="s">
        <v>601</v>
      </c>
      <c r="BT24" t="s">
        <v>699</v>
      </c>
      <c r="BU24" t="s">
        <v>2266</v>
      </c>
      <c r="BV24" t="s">
        <v>647</v>
      </c>
      <c r="BW24" s="60" t="s">
        <v>1073</v>
      </c>
      <c r="BX24" s="15"/>
      <c r="BZ24" t="s">
        <v>993</v>
      </c>
      <c r="CC24" s="32" t="s">
        <v>2009</v>
      </c>
    </row>
    <row r="25" spans="1:81" ht="12.75" customHeight="1">
      <c r="A25" s="8">
        <f>IF($O$1+59+$L$1+INT(-($O$1+59+$L$1)/7+1)*7=A$2,1,"")</f>
      </c>
      <c r="B25" s="5">
        <f aca="true" t="shared" si="8" ref="B25:G25">IF($O$1+59+$L$1+INT(-($O$1+59+$L$1)/7+1)*7=B$2,1,IF(A25&lt;&gt;"",A25+1,""))</f>
      </c>
      <c r="C25" s="5">
        <f t="shared" si="8"/>
      </c>
      <c r="D25" s="5">
        <f t="shared" si="8"/>
        <v>1</v>
      </c>
      <c r="E25" s="5">
        <f t="shared" si="8"/>
        <v>2</v>
      </c>
      <c r="F25" s="5">
        <f t="shared" si="8"/>
        <v>3</v>
      </c>
      <c r="G25" s="5">
        <f t="shared" si="8"/>
        <v>4</v>
      </c>
      <c r="H25" s="5"/>
      <c r="I25" s="10">
        <f>IF($O$1+243+$L$1+INT(-($O$1+243+$L$1)/7+1)*7=I$2,1,"")</f>
      </c>
      <c r="J25" s="5">
        <f aca="true" t="shared" si="9" ref="J25:O25">IF($O$1+243+$L$1+INT(-($O$1+243+$L$1)/7+1)*7=J$2,1,IF(I25&lt;&gt;"",I25+1,""))</f>
      </c>
      <c r="K25" s="5">
        <f t="shared" si="9"/>
      </c>
      <c r="L25" s="5">
        <f t="shared" si="9"/>
      </c>
      <c r="M25" s="5">
        <f t="shared" si="9"/>
      </c>
      <c r="N25" s="5">
        <f t="shared" si="9"/>
        <v>1</v>
      </c>
      <c r="O25" s="5">
        <f t="shared" si="9"/>
        <v>2</v>
      </c>
      <c r="Q25" t="s">
        <v>758</v>
      </c>
      <c r="R25" s="62" t="s">
        <v>759</v>
      </c>
      <c r="S25" s="15"/>
      <c r="U25">
        <v>8</v>
      </c>
      <c r="V25" t="s">
        <v>290</v>
      </c>
      <c r="W25" s="239" t="s">
        <v>541</v>
      </c>
      <c r="X25" s="32" t="s">
        <v>22</v>
      </c>
      <c r="Y25" s="32" t="s">
        <v>2180</v>
      </c>
      <c r="Z25" t="s">
        <v>709</v>
      </c>
      <c r="AA25" t="s">
        <v>872</v>
      </c>
      <c r="AB25" s="35" t="s">
        <v>748</v>
      </c>
      <c r="AC25" t="s">
        <v>576</v>
      </c>
      <c r="AD25" t="s">
        <v>2267</v>
      </c>
      <c r="AE25" t="s">
        <v>805</v>
      </c>
      <c r="AF25" t="s">
        <v>259</v>
      </c>
      <c r="AG25" t="s">
        <v>259</v>
      </c>
      <c r="AH25" s="32" t="s">
        <v>1339</v>
      </c>
      <c r="AI25" t="s">
        <v>259</v>
      </c>
      <c r="AJ25" s="35" t="s">
        <v>1185</v>
      </c>
      <c r="AK25" t="s">
        <v>259</v>
      </c>
      <c r="AL25" t="s">
        <v>205</v>
      </c>
      <c r="AM25" t="s">
        <v>1138</v>
      </c>
      <c r="AN25" t="s">
        <v>668</v>
      </c>
      <c r="AO25" t="s">
        <v>324</v>
      </c>
      <c r="AP25" s="35" t="s">
        <v>770</v>
      </c>
      <c r="AQ25" t="s">
        <v>205</v>
      </c>
      <c r="AR25" t="s">
        <v>589</v>
      </c>
      <c r="AS25" s="32" t="s">
        <v>1138</v>
      </c>
      <c r="AT25" s="32" t="s">
        <v>824</v>
      </c>
      <c r="AU25" t="s">
        <v>205</v>
      </c>
      <c r="AV25" t="s">
        <v>290</v>
      </c>
      <c r="AW25" t="s">
        <v>898</v>
      </c>
      <c r="AX25" t="s">
        <v>965</v>
      </c>
      <c r="AY25" t="s">
        <v>550</v>
      </c>
      <c r="AZ25" s="32" t="s">
        <v>506</v>
      </c>
      <c r="BA25" t="s">
        <v>290</v>
      </c>
      <c r="BB25" t="s">
        <v>259</v>
      </c>
      <c r="BC25" s="32" t="s">
        <v>748</v>
      </c>
      <c r="BD25" s="32" t="s">
        <v>748</v>
      </c>
      <c r="BE25" s="32" t="s">
        <v>495</v>
      </c>
      <c r="BF25" t="s">
        <v>426</v>
      </c>
      <c r="BG25" t="s">
        <v>205</v>
      </c>
      <c r="BH25" t="s">
        <v>862</v>
      </c>
      <c r="BI25" t="s">
        <v>259</v>
      </c>
      <c r="BJ25" s="32" t="s">
        <v>259</v>
      </c>
      <c r="BK25" t="s">
        <v>834</v>
      </c>
      <c r="BL25" s="32" t="s">
        <v>473</v>
      </c>
      <c r="BM25" t="s">
        <v>2268</v>
      </c>
      <c r="BN25" t="s">
        <v>594</v>
      </c>
      <c r="BO25" t="s">
        <v>205</v>
      </c>
      <c r="BP25" t="s">
        <v>381</v>
      </c>
      <c r="BQ25" t="s">
        <v>305</v>
      </c>
      <c r="BR25" t="s">
        <v>1160</v>
      </c>
      <c r="BS25" t="s">
        <v>205</v>
      </c>
      <c r="BT25" s="35" t="s">
        <v>695</v>
      </c>
      <c r="BU25" t="s">
        <v>2269</v>
      </c>
      <c r="BV25" t="s">
        <v>648</v>
      </c>
      <c r="BW25" s="60" t="s">
        <v>1086</v>
      </c>
      <c r="BX25" s="15"/>
      <c r="BZ25" t="s">
        <v>748</v>
      </c>
      <c r="CC25" s="32" t="s">
        <v>2004</v>
      </c>
    </row>
    <row r="26" spans="1:81" ht="12.75" customHeight="1">
      <c r="A26" s="8">
        <f>IF(G25="","",IF(G25&lt;31,G25+1,""))</f>
        <v>5</v>
      </c>
      <c r="B26" s="5">
        <f aca="true" t="shared" si="10" ref="B26:G30">IF(A26="","",IF(A26&lt;31,A26+1,""))</f>
        <v>6</v>
      </c>
      <c r="C26" s="5">
        <f t="shared" si="10"/>
        <v>7</v>
      </c>
      <c r="D26" s="5">
        <f t="shared" si="10"/>
        <v>8</v>
      </c>
      <c r="E26" s="5">
        <f t="shared" si="10"/>
        <v>9</v>
      </c>
      <c r="F26" s="5">
        <f t="shared" si="10"/>
        <v>10</v>
      </c>
      <c r="G26" s="5">
        <f t="shared" si="10"/>
        <v>11</v>
      </c>
      <c r="H26" s="5"/>
      <c r="I26" s="10">
        <f>IF(O25="","",IF(O25&lt;30,O25+1,""))</f>
        <v>3</v>
      </c>
      <c r="J26" s="5">
        <f aca="true" t="shared" si="11" ref="J26:O30">IF(I26="","",IF(I26&lt;30,I26+1,""))</f>
        <v>4</v>
      </c>
      <c r="K26" s="5">
        <f t="shared" si="11"/>
        <v>5</v>
      </c>
      <c r="L26" s="5">
        <f t="shared" si="11"/>
        <v>6</v>
      </c>
      <c r="M26" s="5">
        <f t="shared" si="11"/>
        <v>7</v>
      </c>
      <c r="N26" s="5">
        <f t="shared" si="11"/>
        <v>8</v>
      </c>
      <c r="O26" s="5">
        <f t="shared" si="11"/>
        <v>9</v>
      </c>
      <c r="Q26" t="s">
        <v>1048</v>
      </c>
      <c r="R26" s="32" t="s">
        <v>1050</v>
      </c>
      <c r="S26" s="15"/>
      <c r="U26">
        <v>9</v>
      </c>
      <c r="V26" t="s">
        <v>260</v>
      </c>
      <c r="W26" s="239" t="s">
        <v>542</v>
      </c>
      <c r="X26" t="s">
        <v>260</v>
      </c>
      <c r="Y26" s="32" t="s">
        <v>2181</v>
      </c>
      <c r="Z26" t="s">
        <v>708</v>
      </c>
      <c r="AA26" t="s">
        <v>260</v>
      </c>
      <c r="AB26" t="s">
        <v>756</v>
      </c>
      <c r="AC26" t="s">
        <v>577</v>
      </c>
      <c r="AD26" t="s">
        <v>2270</v>
      </c>
      <c r="AE26" t="s">
        <v>806</v>
      </c>
      <c r="AF26" t="s">
        <v>260</v>
      </c>
      <c r="AG26" t="s">
        <v>260</v>
      </c>
      <c r="AH26" s="32" t="s">
        <v>1340</v>
      </c>
      <c r="AI26" t="s">
        <v>260</v>
      </c>
      <c r="AJ26" s="35" t="s">
        <v>1180</v>
      </c>
      <c r="AK26" t="s">
        <v>260</v>
      </c>
      <c r="AL26" t="s">
        <v>206</v>
      </c>
      <c r="AM26" t="s">
        <v>1139</v>
      </c>
      <c r="AN26" t="s">
        <v>669</v>
      </c>
      <c r="AO26" t="s">
        <v>325</v>
      </c>
      <c r="AP26" t="s">
        <v>771</v>
      </c>
      <c r="AQ26" t="s">
        <v>356</v>
      </c>
      <c r="AR26" t="s">
        <v>407</v>
      </c>
      <c r="AS26" s="32" t="s">
        <v>325</v>
      </c>
      <c r="AT26" t="s">
        <v>260</v>
      </c>
      <c r="AU26" t="s">
        <v>342</v>
      </c>
      <c r="AV26" t="s">
        <v>260</v>
      </c>
      <c r="AW26" t="s">
        <v>899</v>
      </c>
      <c r="AX26" t="s">
        <v>966</v>
      </c>
      <c r="AY26" t="s">
        <v>558</v>
      </c>
      <c r="AZ26" s="32" t="s">
        <v>520</v>
      </c>
      <c r="BA26" t="s">
        <v>260</v>
      </c>
      <c r="BB26" t="s">
        <v>260</v>
      </c>
      <c r="BC26" s="32" t="s">
        <v>756</v>
      </c>
      <c r="BD26" s="32" t="s">
        <v>37</v>
      </c>
      <c r="BE26" s="32" t="s">
        <v>496</v>
      </c>
      <c r="BF26" t="s">
        <v>427</v>
      </c>
      <c r="BG26" t="s">
        <v>356</v>
      </c>
      <c r="BH26" t="s">
        <v>863</v>
      </c>
      <c r="BI26" t="s">
        <v>567</v>
      </c>
      <c r="BJ26" s="32" t="s">
        <v>260</v>
      </c>
      <c r="BK26" t="s">
        <v>841</v>
      </c>
      <c r="BL26" s="32" t="s">
        <v>479</v>
      </c>
      <c r="BM26" t="s">
        <v>2271</v>
      </c>
      <c r="BN26" t="s">
        <v>595</v>
      </c>
      <c r="BO26" t="s">
        <v>602</v>
      </c>
      <c r="BP26" t="s">
        <v>382</v>
      </c>
      <c r="BQ26" t="s">
        <v>260</v>
      </c>
      <c r="BR26" t="s">
        <v>1161</v>
      </c>
      <c r="BS26" t="s">
        <v>602</v>
      </c>
      <c r="BT26" t="s">
        <v>700</v>
      </c>
      <c r="BU26" t="s">
        <v>2272</v>
      </c>
      <c r="BV26" t="s">
        <v>260</v>
      </c>
      <c r="BW26" s="60" t="s">
        <v>1075</v>
      </c>
      <c r="BX26" s="15"/>
      <c r="BZ26" t="s">
        <v>994</v>
      </c>
      <c r="CC26" s="32" t="s">
        <v>2005</v>
      </c>
    </row>
    <row r="27" spans="1:81" ht="12.75" customHeight="1">
      <c r="A27" s="8">
        <f>IF(G26="","",IF(G26&lt;31,G26+1,""))</f>
        <v>12</v>
      </c>
      <c r="B27" s="5">
        <f t="shared" si="10"/>
        <v>13</v>
      </c>
      <c r="C27" s="5">
        <f t="shared" si="10"/>
        <v>14</v>
      </c>
      <c r="D27" s="5">
        <f t="shared" si="10"/>
        <v>15</v>
      </c>
      <c r="E27" s="5">
        <f t="shared" si="10"/>
        <v>16</v>
      </c>
      <c r="F27" s="5">
        <f t="shared" si="10"/>
        <v>17</v>
      </c>
      <c r="G27" s="5">
        <f t="shared" si="10"/>
        <v>18</v>
      </c>
      <c r="H27" s="5"/>
      <c r="I27" s="10">
        <f>IF(O26="","",IF(O26&lt;30,O26+1,""))</f>
        <v>10</v>
      </c>
      <c r="J27" s="5">
        <f t="shared" si="11"/>
        <v>11</v>
      </c>
      <c r="K27" s="5">
        <f t="shared" si="11"/>
        <v>12</v>
      </c>
      <c r="L27" s="5">
        <f t="shared" si="11"/>
        <v>13</v>
      </c>
      <c r="M27" s="5">
        <f t="shared" si="11"/>
        <v>14</v>
      </c>
      <c r="N27" s="5">
        <f t="shared" si="11"/>
        <v>15</v>
      </c>
      <c r="O27" s="5">
        <f t="shared" si="11"/>
        <v>16</v>
      </c>
      <c r="Q27" t="s">
        <v>404</v>
      </c>
      <c r="R27" s="62" t="s">
        <v>396</v>
      </c>
      <c r="S27" s="15"/>
      <c r="U27">
        <v>10</v>
      </c>
      <c r="V27" t="s">
        <v>270</v>
      </c>
      <c r="W27" s="239" t="s">
        <v>543</v>
      </c>
      <c r="X27" t="s">
        <v>270</v>
      </c>
      <c r="Y27" s="32" t="s">
        <v>2184</v>
      </c>
      <c r="Z27" t="s">
        <v>707</v>
      </c>
      <c r="AA27" t="s">
        <v>270</v>
      </c>
      <c r="AB27" t="s">
        <v>207</v>
      </c>
      <c r="AC27" t="s">
        <v>581</v>
      </c>
      <c r="AD27" t="s">
        <v>343</v>
      </c>
      <c r="AE27" t="s">
        <v>807</v>
      </c>
      <c r="AF27" t="s">
        <v>270</v>
      </c>
      <c r="AG27" t="s">
        <v>270</v>
      </c>
      <c r="AH27" s="32" t="s">
        <v>1341</v>
      </c>
      <c r="AI27" t="s">
        <v>956</v>
      </c>
      <c r="AJ27" s="35" t="s">
        <v>557</v>
      </c>
      <c r="AK27" t="s">
        <v>261</v>
      </c>
      <c r="AL27" t="s">
        <v>207</v>
      </c>
      <c r="AM27" t="s">
        <v>1140</v>
      </c>
      <c r="AN27" t="s">
        <v>670</v>
      </c>
      <c r="AO27" t="s">
        <v>326</v>
      </c>
      <c r="AP27" t="s">
        <v>772</v>
      </c>
      <c r="AQ27" t="s">
        <v>357</v>
      </c>
      <c r="AR27" t="s">
        <v>408</v>
      </c>
      <c r="AS27" s="32" t="s">
        <v>326</v>
      </c>
      <c r="AT27" t="s">
        <v>557</v>
      </c>
      <c r="AU27" t="s">
        <v>343</v>
      </c>
      <c r="AV27" t="s">
        <v>261</v>
      </c>
      <c r="AW27" t="s">
        <v>900</v>
      </c>
      <c r="AX27" t="s">
        <v>967</v>
      </c>
      <c r="AY27" t="s">
        <v>557</v>
      </c>
      <c r="AZ27" s="32" t="s">
        <v>518</v>
      </c>
      <c r="BA27" t="s">
        <v>270</v>
      </c>
      <c r="BB27" t="s">
        <v>270</v>
      </c>
      <c r="BC27" s="32" t="s">
        <v>1308</v>
      </c>
      <c r="BD27" s="32" t="s">
        <v>33</v>
      </c>
      <c r="BE27" s="32" t="s">
        <v>270</v>
      </c>
      <c r="BF27" t="s">
        <v>428</v>
      </c>
      <c r="BG27" t="s">
        <v>357</v>
      </c>
      <c r="BH27" t="s">
        <v>864</v>
      </c>
      <c r="BI27" t="s">
        <v>568</v>
      </c>
      <c r="BJ27" s="32" t="s">
        <v>261</v>
      </c>
      <c r="BK27" t="s">
        <v>842</v>
      </c>
      <c r="BL27" s="32" t="s">
        <v>474</v>
      </c>
      <c r="BM27" t="s">
        <v>2273</v>
      </c>
      <c r="BN27" t="s">
        <v>596</v>
      </c>
      <c r="BO27" t="s">
        <v>603</v>
      </c>
      <c r="BP27" t="s">
        <v>383</v>
      </c>
      <c r="BQ27" t="s">
        <v>270</v>
      </c>
      <c r="BR27" t="s">
        <v>1162</v>
      </c>
      <c r="BS27" t="s">
        <v>603</v>
      </c>
      <c r="BT27" t="s">
        <v>696</v>
      </c>
      <c r="BU27" t="s">
        <v>2274</v>
      </c>
      <c r="BV27" t="s">
        <v>270</v>
      </c>
      <c r="BW27" s="60" t="s">
        <v>1080</v>
      </c>
      <c r="BX27" s="15"/>
      <c r="BZ27" t="s">
        <v>995</v>
      </c>
      <c r="CC27" s="32" t="s">
        <v>2006</v>
      </c>
    </row>
    <row r="28" spans="1:87" ht="12.75" customHeight="1">
      <c r="A28" s="8">
        <f>IF(G27="","",IF(G27&lt;31,G27+1,""))</f>
        <v>19</v>
      </c>
      <c r="B28" s="5">
        <f t="shared" si="10"/>
        <v>20</v>
      </c>
      <c r="C28" s="5">
        <f t="shared" si="10"/>
        <v>21</v>
      </c>
      <c r="D28" s="5">
        <f t="shared" si="10"/>
        <v>22</v>
      </c>
      <c r="E28" s="5">
        <f t="shared" si="10"/>
        <v>23</v>
      </c>
      <c r="F28" s="5">
        <f t="shared" si="10"/>
        <v>24</v>
      </c>
      <c r="G28" s="5">
        <f t="shared" si="10"/>
        <v>25</v>
      </c>
      <c r="H28" s="5"/>
      <c r="I28" s="10">
        <f>IF(O27="","",IF(O27&lt;30,O27+1,""))</f>
        <v>17</v>
      </c>
      <c r="J28" s="5">
        <f t="shared" si="11"/>
        <v>18</v>
      </c>
      <c r="K28" s="5">
        <f t="shared" si="11"/>
        <v>19</v>
      </c>
      <c r="L28" s="5">
        <f t="shared" si="11"/>
        <v>20</v>
      </c>
      <c r="M28" s="5">
        <f t="shared" si="11"/>
        <v>21</v>
      </c>
      <c r="N28" s="5">
        <f t="shared" si="11"/>
        <v>22</v>
      </c>
      <c r="O28" s="5">
        <f t="shared" si="11"/>
        <v>23</v>
      </c>
      <c r="Q28" t="s">
        <v>2011</v>
      </c>
      <c r="R28" s="32" t="s">
        <v>2011</v>
      </c>
      <c r="S28" s="15"/>
      <c r="U28">
        <v>11</v>
      </c>
      <c r="V28" t="s">
        <v>262</v>
      </c>
      <c r="W28" s="239" t="s">
        <v>544</v>
      </c>
      <c r="X28" t="s">
        <v>262</v>
      </c>
      <c r="Y28" s="32" t="s">
        <v>2182</v>
      </c>
      <c r="Z28" t="s">
        <v>706</v>
      </c>
      <c r="AA28" t="s">
        <v>262</v>
      </c>
      <c r="AB28" t="s">
        <v>327</v>
      </c>
      <c r="AC28" t="s">
        <v>408</v>
      </c>
      <c r="AD28" t="s">
        <v>2275</v>
      </c>
      <c r="AE28" t="s">
        <v>808</v>
      </c>
      <c r="AF28" t="s">
        <v>262</v>
      </c>
      <c r="AG28" t="s">
        <v>262</v>
      </c>
      <c r="AH28" s="32" t="s">
        <v>1342</v>
      </c>
      <c r="AI28" t="s">
        <v>262</v>
      </c>
      <c r="AJ28" s="35" t="s">
        <v>262</v>
      </c>
      <c r="AK28" t="s">
        <v>262</v>
      </c>
      <c r="AL28" t="s">
        <v>208</v>
      </c>
      <c r="AM28" t="s">
        <v>358</v>
      </c>
      <c r="AN28" t="s">
        <v>671</v>
      </c>
      <c r="AO28" t="s">
        <v>327</v>
      </c>
      <c r="AP28" t="s">
        <v>773</v>
      </c>
      <c r="AQ28" t="s">
        <v>358</v>
      </c>
      <c r="AR28" t="s">
        <v>590</v>
      </c>
      <c r="AS28" s="32" t="s">
        <v>327</v>
      </c>
      <c r="AT28" t="s">
        <v>820</v>
      </c>
      <c r="AU28" t="s">
        <v>327</v>
      </c>
      <c r="AV28" t="s">
        <v>262</v>
      </c>
      <c r="AW28" t="s">
        <v>901</v>
      </c>
      <c r="AX28" t="s">
        <v>976</v>
      </c>
      <c r="AY28" t="s">
        <v>262</v>
      </c>
      <c r="AZ28" s="32" t="s">
        <v>517</v>
      </c>
      <c r="BA28" t="s">
        <v>262</v>
      </c>
      <c r="BB28" t="s">
        <v>262</v>
      </c>
      <c r="BC28" s="32" t="s">
        <v>327</v>
      </c>
      <c r="BD28" s="32" t="s">
        <v>35</v>
      </c>
      <c r="BE28" s="32" t="s">
        <v>497</v>
      </c>
      <c r="BF28" t="s">
        <v>408</v>
      </c>
      <c r="BG28" t="s">
        <v>358</v>
      </c>
      <c r="BH28" t="s">
        <v>865</v>
      </c>
      <c r="BI28" t="s">
        <v>569</v>
      </c>
      <c r="BJ28" s="32" t="s">
        <v>262</v>
      </c>
      <c r="BK28" t="s">
        <v>843</v>
      </c>
      <c r="BL28" s="32" t="s">
        <v>475</v>
      </c>
      <c r="BM28" t="s">
        <v>2276</v>
      </c>
      <c r="BN28" t="s">
        <v>409</v>
      </c>
      <c r="BO28" t="s">
        <v>604</v>
      </c>
      <c r="BP28" t="s">
        <v>384</v>
      </c>
      <c r="BQ28" t="s">
        <v>262</v>
      </c>
      <c r="BR28" t="s">
        <v>1163</v>
      </c>
      <c r="BS28" t="s">
        <v>604</v>
      </c>
      <c r="BT28" t="s">
        <v>697</v>
      </c>
      <c r="BU28" t="s">
        <v>2277</v>
      </c>
      <c r="BV28" t="s">
        <v>262</v>
      </c>
      <c r="BW28" s="60" t="s">
        <v>1087</v>
      </c>
      <c r="BX28" s="15"/>
      <c r="BZ28" t="s">
        <v>996</v>
      </c>
      <c r="CC28" s="32" t="s">
        <v>2007</v>
      </c>
      <c r="CI28" s="32" t="s">
        <v>2190</v>
      </c>
    </row>
    <row r="29" spans="1:87" ht="12.75" customHeight="1">
      <c r="A29" s="8">
        <f>IF(G28="","",IF(G28&lt;31,G28+1,""))</f>
        <v>26</v>
      </c>
      <c r="B29" s="5">
        <f t="shared" si="10"/>
        <v>27</v>
      </c>
      <c r="C29" s="5">
        <f t="shared" si="10"/>
        <v>28</v>
      </c>
      <c r="D29" s="5">
        <f t="shared" si="10"/>
        <v>29</v>
      </c>
      <c r="E29" s="5">
        <f t="shared" si="10"/>
        <v>30</v>
      </c>
      <c r="F29" s="5">
        <f t="shared" si="10"/>
        <v>31</v>
      </c>
      <c r="G29" s="5">
        <f t="shared" si="10"/>
      </c>
      <c r="H29" s="5"/>
      <c r="I29" s="10">
        <f>IF(O28="","",IF(O28&lt;30,O28+1,""))</f>
        <v>24</v>
      </c>
      <c r="J29" s="5">
        <f t="shared" si="11"/>
        <v>25</v>
      </c>
      <c r="K29" s="5">
        <f t="shared" si="11"/>
        <v>26</v>
      </c>
      <c r="L29" s="5">
        <f t="shared" si="11"/>
        <v>27</v>
      </c>
      <c r="M29" s="5">
        <f t="shared" si="11"/>
        <v>28</v>
      </c>
      <c r="N29" s="5">
        <f t="shared" si="11"/>
        <v>29</v>
      </c>
      <c r="O29" s="5">
        <f t="shared" si="11"/>
        <v>30</v>
      </c>
      <c r="Q29" t="s">
        <v>794</v>
      </c>
      <c r="R29" s="62" t="s">
        <v>800</v>
      </c>
      <c r="S29" s="15"/>
      <c r="U29">
        <v>12</v>
      </c>
      <c r="V29" t="s">
        <v>703</v>
      </c>
      <c r="W29" s="239" t="s">
        <v>545</v>
      </c>
      <c r="X29" t="s">
        <v>271</v>
      </c>
      <c r="Y29" s="32" t="s">
        <v>2183</v>
      </c>
      <c r="Z29" t="s">
        <v>705</v>
      </c>
      <c r="AA29" t="s">
        <v>263</v>
      </c>
      <c r="AB29" t="s">
        <v>749</v>
      </c>
      <c r="AC29" t="s">
        <v>575</v>
      </c>
      <c r="AD29" t="s">
        <v>344</v>
      </c>
      <c r="AE29" t="s">
        <v>809</v>
      </c>
      <c r="AF29" t="s">
        <v>263</v>
      </c>
      <c r="AG29" t="s">
        <v>271</v>
      </c>
      <c r="AH29" s="32" t="s">
        <v>1343</v>
      </c>
      <c r="AI29" t="s">
        <v>649</v>
      </c>
      <c r="AJ29" s="35" t="s">
        <v>1171</v>
      </c>
      <c r="AK29" t="s">
        <v>263</v>
      </c>
      <c r="AL29" t="s">
        <v>209</v>
      </c>
      <c r="AM29" t="s">
        <v>1055</v>
      </c>
      <c r="AN29" t="s">
        <v>672</v>
      </c>
      <c r="AO29" t="s">
        <v>328</v>
      </c>
      <c r="AP29" t="s">
        <v>774</v>
      </c>
      <c r="AQ29" t="s">
        <v>1055</v>
      </c>
      <c r="AR29" t="s">
        <v>591</v>
      </c>
      <c r="AS29" s="32" t="s">
        <v>1309</v>
      </c>
      <c r="AT29" t="s">
        <v>703</v>
      </c>
      <c r="AU29" t="s">
        <v>344</v>
      </c>
      <c r="AV29" t="s">
        <v>263</v>
      </c>
      <c r="AW29" t="s">
        <v>902</v>
      </c>
      <c r="AX29" t="s">
        <v>977</v>
      </c>
      <c r="AY29" t="s">
        <v>263</v>
      </c>
      <c r="AZ29" s="32" t="s">
        <v>507</v>
      </c>
      <c r="BA29" t="s">
        <v>263</v>
      </c>
      <c r="BB29" t="s">
        <v>703</v>
      </c>
      <c r="BC29" s="32" t="s">
        <v>1309</v>
      </c>
      <c r="BD29" s="32" t="s">
        <v>42</v>
      </c>
      <c r="BE29" s="32" t="s">
        <v>498</v>
      </c>
      <c r="BF29" t="s">
        <v>429</v>
      </c>
      <c r="BG29" t="s">
        <v>359</v>
      </c>
      <c r="BH29" t="s">
        <v>866</v>
      </c>
      <c r="BI29" t="s">
        <v>561</v>
      </c>
      <c r="BJ29" s="32" t="s">
        <v>263</v>
      </c>
      <c r="BK29" t="s">
        <v>835</v>
      </c>
      <c r="BL29" s="32" t="s">
        <v>480</v>
      </c>
      <c r="BM29" t="s">
        <v>263</v>
      </c>
      <c r="BN29" t="s">
        <v>410</v>
      </c>
      <c r="BO29" t="s">
        <v>2278</v>
      </c>
      <c r="BP29" t="s">
        <v>385</v>
      </c>
      <c r="BQ29" t="s">
        <v>263</v>
      </c>
      <c r="BR29" t="s">
        <v>1164</v>
      </c>
      <c r="BS29" t="s">
        <v>605</v>
      </c>
      <c r="BT29" t="s">
        <v>698</v>
      </c>
      <c r="BU29" t="s">
        <v>2279</v>
      </c>
      <c r="BV29" t="s">
        <v>649</v>
      </c>
      <c r="BW29" s="60" t="s">
        <v>1076</v>
      </c>
      <c r="BX29" s="15"/>
      <c r="BZ29" t="s">
        <v>997</v>
      </c>
      <c r="CC29" s="32" t="s">
        <v>2008</v>
      </c>
      <c r="CI29" s="32" t="s">
        <v>2191</v>
      </c>
    </row>
    <row r="30" spans="1:87" ht="12.75" customHeight="1">
      <c r="A30" s="8">
        <f>IF(G29="","",IF(G29&lt;31,G29+1,""))</f>
      </c>
      <c r="B30" s="5">
        <f t="shared" si="10"/>
      </c>
      <c r="C30" s="5">
        <f t="shared" si="10"/>
      </c>
      <c r="D30" s="5">
        <f t="shared" si="10"/>
      </c>
      <c r="E30" s="5">
        <f t="shared" si="10"/>
      </c>
      <c r="F30" s="5">
        <f t="shared" si="10"/>
      </c>
      <c r="G30" s="5">
        <f t="shared" si="10"/>
      </c>
      <c r="H30" s="5"/>
      <c r="I30" s="10">
        <f>IF(O29="","",IF(O29&lt;30,O29+1,""))</f>
      </c>
      <c r="J30" s="5">
        <f t="shared" si="11"/>
      </c>
      <c r="K30" s="5">
        <f t="shared" si="11"/>
      </c>
      <c r="L30" s="5">
        <f t="shared" si="11"/>
      </c>
      <c r="M30" s="5">
        <f t="shared" si="11"/>
      </c>
      <c r="N30" s="5">
        <f t="shared" si="11"/>
      </c>
      <c r="O30" s="5">
        <f t="shared" si="11"/>
      </c>
      <c r="Q30" t="s">
        <v>293</v>
      </c>
      <c r="R30" s="62" t="s">
        <v>293</v>
      </c>
      <c r="S30" s="15"/>
      <c r="U30">
        <v>13</v>
      </c>
      <c r="V30" t="s">
        <v>949</v>
      </c>
      <c r="W30" s="37" t="s">
        <v>717</v>
      </c>
      <c r="X30" s="32" t="s">
        <v>21</v>
      </c>
      <c r="Y30" s="32" t="s">
        <v>717</v>
      </c>
      <c r="Z30" s="37" t="s">
        <v>717</v>
      </c>
      <c r="AA30" t="s">
        <v>873</v>
      </c>
      <c r="AB30" t="s">
        <v>721</v>
      </c>
      <c r="AC30" t="s">
        <v>733</v>
      </c>
      <c r="AD30" t="s">
        <v>721</v>
      </c>
      <c r="AE30" t="s">
        <v>810</v>
      </c>
      <c r="AF30" t="s">
        <v>725</v>
      </c>
      <c r="AG30" t="s">
        <v>718</v>
      </c>
      <c r="AH30" s="32" t="s">
        <v>1344</v>
      </c>
      <c r="AI30" t="s">
        <v>957</v>
      </c>
      <c r="AJ30" s="35" t="s">
        <v>1182</v>
      </c>
      <c r="AK30" t="s">
        <v>719</v>
      </c>
      <c r="AL30" t="s">
        <v>717</v>
      </c>
      <c r="AM30" s="32" t="s">
        <v>729</v>
      </c>
      <c r="AN30" t="s">
        <v>738</v>
      </c>
      <c r="AO30" t="s">
        <v>722</v>
      </c>
      <c r="AP30" t="s">
        <v>775</v>
      </c>
      <c r="AQ30" t="s">
        <v>717</v>
      </c>
      <c r="AR30" t="s">
        <v>727</v>
      </c>
      <c r="AS30" s="108" t="s">
        <v>726</v>
      </c>
      <c r="AT30" t="s">
        <v>821</v>
      </c>
      <c r="AU30" t="s">
        <v>721</v>
      </c>
      <c r="AV30" t="s">
        <v>726</v>
      </c>
      <c r="AW30" t="s">
        <v>892</v>
      </c>
      <c r="AX30" s="37" t="s">
        <v>717</v>
      </c>
      <c r="AY30" t="s">
        <v>734</v>
      </c>
      <c r="AZ30" s="32" t="s">
        <v>508</v>
      </c>
      <c r="BA30" t="s">
        <v>720</v>
      </c>
      <c r="BB30" t="s">
        <v>725</v>
      </c>
      <c r="BC30" s="32" t="s">
        <v>1318</v>
      </c>
      <c r="BD30" t="s">
        <v>721</v>
      </c>
      <c r="BE30" s="32" t="s">
        <v>499</v>
      </c>
      <c r="BF30" t="s">
        <v>726</v>
      </c>
      <c r="BG30" t="s">
        <v>724</v>
      </c>
      <c r="BH30" s="108" t="s">
        <v>2158</v>
      </c>
      <c r="BI30" t="s">
        <v>731</v>
      </c>
      <c r="BJ30" s="32" t="s">
        <v>1999</v>
      </c>
      <c r="BK30" s="37" t="s">
        <v>717</v>
      </c>
      <c r="BL30" s="32" t="s">
        <v>2157</v>
      </c>
      <c r="BM30" t="s">
        <v>2281</v>
      </c>
      <c r="BN30" t="s">
        <v>735</v>
      </c>
      <c r="BO30" t="s">
        <v>2280</v>
      </c>
      <c r="BP30" t="s">
        <v>728</v>
      </c>
      <c r="BQ30" t="s">
        <v>723</v>
      </c>
      <c r="BR30" s="15" t="s">
        <v>1165</v>
      </c>
      <c r="BS30" t="s">
        <v>729</v>
      </c>
      <c r="BT30" t="s">
        <v>730</v>
      </c>
      <c r="BU30" t="s">
        <v>2282</v>
      </c>
      <c r="BV30" t="s">
        <v>732</v>
      </c>
      <c r="BW30" s="60" t="s">
        <v>1077</v>
      </c>
      <c r="BX30" s="15"/>
      <c r="BZ30" s="37" t="s">
        <v>717</v>
      </c>
      <c r="CF30" s="32" t="s">
        <v>1077</v>
      </c>
      <c r="CI30" s="32" t="s">
        <v>2192</v>
      </c>
    </row>
    <row r="31" spans="1:39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t="s">
        <v>394</v>
      </c>
      <c r="R31" s="62" t="s">
        <v>295</v>
      </c>
      <c r="S31" s="15"/>
      <c r="U31">
        <v>14</v>
      </c>
      <c r="AB31" s="37" t="s">
        <v>737</v>
      </c>
      <c r="AG31" t="s">
        <v>736</v>
      </c>
      <c r="AH31" s="32"/>
      <c r="AL31" t="s">
        <v>737</v>
      </c>
      <c r="AM31" s="61"/>
    </row>
    <row r="32" spans="1:90" ht="12.75" customHeight="1">
      <c r="A32" s="5"/>
      <c r="B32" s="5"/>
      <c r="C32" s="5"/>
      <c r="D32" s="6" t="str">
        <f>VLOOKUP(4,$U$18:$BW$29,$I$1)&amp;" "&amp;$E$1</f>
        <v>Abril 2023</v>
      </c>
      <c r="E32" s="5"/>
      <c r="F32" s="5"/>
      <c r="G32" s="5"/>
      <c r="H32" s="5"/>
      <c r="I32" s="5"/>
      <c r="J32" s="5"/>
      <c r="K32" s="5"/>
      <c r="L32" s="6" t="str">
        <f>VLOOKUP(10,$U$18:$BW$29,$I$1)&amp;" "&amp;$E$1</f>
        <v>Octubre 2023</v>
      </c>
      <c r="M32" s="5"/>
      <c r="N32" s="5"/>
      <c r="O32" s="5"/>
      <c r="Q32" t="s">
        <v>884</v>
      </c>
      <c r="R32" s="62" t="s">
        <v>883</v>
      </c>
      <c r="S32" s="15"/>
      <c r="U32">
        <v>15</v>
      </c>
      <c r="X32" s="32" t="s">
        <v>11</v>
      </c>
      <c r="AD32" t="s">
        <v>2284</v>
      </c>
      <c r="AH32" s="32" t="s">
        <v>2019</v>
      </c>
      <c r="AJ32" t="s">
        <v>1187</v>
      </c>
      <c r="AM32" s="15"/>
      <c r="AN32" t="s">
        <v>845</v>
      </c>
      <c r="AS32" s="32" t="s">
        <v>2018</v>
      </c>
      <c r="AZ32" s="32" t="s">
        <v>527</v>
      </c>
      <c r="BC32" s="32" t="s">
        <v>1319</v>
      </c>
      <c r="BD32" s="32"/>
      <c r="BJ32" s="32" t="s">
        <v>60</v>
      </c>
      <c r="BK32" t="s">
        <v>979</v>
      </c>
      <c r="BO32" t="s">
        <v>2283</v>
      </c>
      <c r="BR32" t="s">
        <v>1166</v>
      </c>
      <c r="BS32" t="s">
        <v>844</v>
      </c>
      <c r="BW32" t="s">
        <v>1078</v>
      </c>
      <c r="BZ32" t="s">
        <v>999</v>
      </c>
      <c r="CC32" s="32" t="s">
        <v>2187</v>
      </c>
      <c r="CL32" s="32" t="s">
        <v>2306</v>
      </c>
    </row>
    <row r="33" spans="1:21" ht="16.5">
      <c r="A33" s="11" t="str">
        <f>$A$6</f>
        <v>Domingo</v>
      </c>
      <c r="B33" s="12" t="str">
        <f>$B$6</f>
        <v>Lunes</v>
      </c>
      <c r="C33" s="12" t="str">
        <f>$C$6</f>
        <v>Martes</v>
      </c>
      <c r="D33" s="12" t="str">
        <f>$D$6</f>
        <v>Miércoles</v>
      </c>
      <c r="E33" s="12" t="str">
        <f>$E$6</f>
        <v>Jueves</v>
      </c>
      <c r="F33" s="12" t="str">
        <f>$F$6</f>
        <v>Viernes</v>
      </c>
      <c r="G33" s="12" t="str">
        <f>$G$6</f>
        <v>Sábado</v>
      </c>
      <c r="H33" s="12"/>
      <c r="I33" s="11" t="str">
        <f>$A$6</f>
        <v>Domingo</v>
      </c>
      <c r="J33" s="12" t="str">
        <f>$B$6</f>
        <v>Lunes</v>
      </c>
      <c r="K33" s="12" t="str">
        <f>$C$6</f>
        <v>Martes</v>
      </c>
      <c r="L33" s="12" t="str">
        <f>$D$6</f>
        <v>Miércoles</v>
      </c>
      <c r="M33" s="12" t="str">
        <f>$E$6</f>
        <v>Jueves</v>
      </c>
      <c r="N33" s="12" t="str">
        <f>$F$6</f>
        <v>Viernes</v>
      </c>
      <c r="O33" s="12" t="str">
        <f>$G$6</f>
        <v>Sábado</v>
      </c>
      <c r="P33" s="7"/>
      <c r="Q33" t="s">
        <v>882</v>
      </c>
      <c r="R33" s="62" t="s">
        <v>881</v>
      </c>
      <c r="S33" s="32"/>
      <c r="T33" s="7"/>
      <c r="U33">
        <v>16</v>
      </c>
    </row>
    <row r="34" spans="1:76" ht="12.75" customHeight="1">
      <c r="A34" s="13">
        <f>IF($O$1+90+$L$1+INT(-($O$1+90+$L$1)/7+1)*7=A$2,1,"")</f>
      </c>
      <c r="B34" s="9">
        <f aca="true" t="shared" si="12" ref="B34:G34">IF($O$1+90+$L$1+INT(-($O$1+90+$L$1)/7+1)*7=B$2,1,IF(A34&lt;&gt;"",A34+1,""))</f>
      </c>
      <c r="C34" s="9">
        <f t="shared" si="12"/>
      </c>
      <c r="D34" s="9">
        <f t="shared" si="12"/>
      </c>
      <c r="E34" s="9">
        <f t="shared" si="12"/>
      </c>
      <c r="F34" s="9">
        <f t="shared" si="12"/>
      </c>
      <c r="G34" s="9">
        <f t="shared" si="12"/>
        <v>1</v>
      </c>
      <c r="H34" s="9"/>
      <c r="I34" s="13">
        <f>IF($O$1+273+$L$1+INT(-($O$1+273+$L$1)/7+1)*7=I$2,1,"")</f>
        <v>1</v>
      </c>
      <c r="J34" s="9">
        <f aca="true" t="shared" si="13" ref="J34:O34">IF($O$1+273+$L$1+INT(-($O$1+273+$L$1)/7+1)*7=J$2,1,IF(I34&lt;&gt;"",I34+1,""))</f>
        <v>2</v>
      </c>
      <c r="K34" s="9">
        <f t="shared" si="13"/>
        <v>3</v>
      </c>
      <c r="L34" s="9">
        <f t="shared" si="13"/>
        <v>4</v>
      </c>
      <c r="M34" s="9">
        <f t="shared" si="13"/>
        <v>5</v>
      </c>
      <c r="N34" s="9">
        <f t="shared" si="13"/>
        <v>6</v>
      </c>
      <c r="O34" s="9">
        <f t="shared" si="13"/>
        <v>7</v>
      </c>
      <c r="P34" s="3"/>
      <c r="Q34" t="s">
        <v>651</v>
      </c>
      <c r="R34" s="62" t="s">
        <v>627</v>
      </c>
      <c r="T34" s="3"/>
      <c r="U34">
        <v>17</v>
      </c>
      <c r="V34" s="274"/>
      <c r="W34" s="274"/>
      <c r="X34" s="274"/>
      <c r="Y34" s="274"/>
      <c r="Z34" s="32" t="s">
        <v>2289</v>
      </c>
      <c r="AA34" s="274"/>
      <c r="AB34" s="274" t="s">
        <v>2290</v>
      </c>
      <c r="AC34" s="274"/>
      <c r="AD34" t="s">
        <v>2286</v>
      </c>
      <c r="AE34" s="274"/>
      <c r="AF34" s="274"/>
      <c r="AG34" s="274" t="s">
        <v>2291</v>
      </c>
      <c r="AH34" s="274"/>
      <c r="AI34" s="274" t="s">
        <v>2292</v>
      </c>
      <c r="AJ34" s="15"/>
      <c r="AK34" s="274" t="s">
        <v>2293</v>
      </c>
      <c r="AL34" s="274" t="s">
        <v>2294</v>
      </c>
      <c r="AM34" s="274" t="s">
        <v>2295</v>
      </c>
      <c r="AN34" s="274" t="s">
        <v>2296</v>
      </c>
      <c r="AO34" s="274" t="s">
        <v>2297</v>
      </c>
      <c r="AP34" s="274"/>
      <c r="AQ34" s="274"/>
      <c r="AR34" s="274"/>
      <c r="AS34" s="274" t="s">
        <v>2298</v>
      </c>
      <c r="AT34" s="274"/>
      <c r="AU34" s="274" t="s">
        <v>2294</v>
      </c>
      <c r="AV34" s="274"/>
      <c r="AW34" s="274"/>
      <c r="AX34" s="274"/>
      <c r="AY34" s="274"/>
      <c r="AZ34" s="274"/>
      <c r="BA34" s="274" t="s">
        <v>2299</v>
      </c>
      <c r="BB34" s="274"/>
      <c r="BC34" s="274"/>
      <c r="BD34" s="274"/>
      <c r="BE34" s="274"/>
      <c r="BF34" s="274" t="s">
        <v>2300</v>
      </c>
      <c r="BG34" s="274" t="s">
        <v>2301</v>
      </c>
      <c r="BH34" s="274"/>
      <c r="BI34" s="274"/>
      <c r="BJ34" s="274"/>
      <c r="BK34" s="274"/>
      <c r="BL34" s="274"/>
      <c r="BM34" t="s">
        <v>2287</v>
      </c>
      <c r="BN34" s="274"/>
      <c r="BO34" t="s">
        <v>2285</v>
      </c>
      <c r="BP34" s="274"/>
      <c r="BQ34" s="274" t="s">
        <v>2302</v>
      </c>
      <c r="BR34" s="274"/>
      <c r="BS34" s="274"/>
      <c r="BT34" s="274"/>
      <c r="BU34" t="s">
        <v>2288</v>
      </c>
      <c r="BV34" s="274"/>
      <c r="BW34" s="274"/>
      <c r="BX34" s="7"/>
    </row>
    <row r="35" spans="1:76" ht="12.75" customHeight="1">
      <c r="A35" s="8">
        <f>IF(G34="","",IF(G34&lt;30,G34+1,""))</f>
        <v>2</v>
      </c>
      <c r="B35" s="5">
        <f aca="true" t="shared" si="14" ref="B35:G39">IF(A35="","",IF(A35&lt;30,A35+1,""))</f>
        <v>3</v>
      </c>
      <c r="C35" s="5">
        <f t="shared" si="14"/>
        <v>4</v>
      </c>
      <c r="D35" s="5">
        <f t="shared" si="14"/>
        <v>5</v>
      </c>
      <c r="E35" s="5">
        <f t="shared" si="14"/>
        <v>6</v>
      </c>
      <c r="F35" s="5">
        <f t="shared" si="14"/>
        <v>7</v>
      </c>
      <c r="G35" s="5">
        <f t="shared" si="14"/>
        <v>8</v>
      </c>
      <c r="H35" s="5"/>
      <c r="I35" s="10">
        <f>IF(O34="","",IF(O34&lt;31,O34+1,""))</f>
        <v>8</v>
      </c>
      <c r="J35" s="5">
        <f aca="true" t="shared" si="15" ref="J35:O39">IF(I35="","",IF(I35&lt;31,I35+1,""))</f>
        <v>9</v>
      </c>
      <c r="K35" s="5">
        <f t="shared" si="15"/>
        <v>10</v>
      </c>
      <c r="L35" s="5">
        <f t="shared" si="15"/>
        <v>11</v>
      </c>
      <c r="M35" s="5">
        <f t="shared" si="15"/>
        <v>12</v>
      </c>
      <c r="N35" s="5">
        <f t="shared" si="15"/>
        <v>13</v>
      </c>
      <c r="O35" s="5">
        <f t="shared" si="15"/>
        <v>14</v>
      </c>
      <c r="Q35" t="s">
        <v>505</v>
      </c>
      <c r="R35" s="32" t="s">
        <v>525</v>
      </c>
      <c r="S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BG35" s="3"/>
      <c r="BH35" s="3"/>
      <c r="BI35" s="3"/>
      <c r="BJ35" s="3"/>
      <c r="BK35" t="s">
        <v>1058</v>
      </c>
      <c r="BP35" s="3"/>
      <c r="BQ35" s="3"/>
      <c r="BS35" s="3"/>
      <c r="BT35" s="3"/>
      <c r="BU35" s="3"/>
      <c r="BV35" s="3"/>
      <c r="BW35" s="3"/>
      <c r="BX35" s="3"/>
    </row>
    <row r="36" spans="1:63" ht="12.75" customHeight="1">
      <c r="A36" s="8">
        <f>IF(G35="","",IF(G35&lt;30,G35+1,""))</f>
        <v>9</v>
      </c>
      <c r="B36" s="5">
        <f t="shared" si="14"/>
        <v>10</v>
      </c>
      <c r="C36" s="5">
        <f t="shared" si="14"/>
        <v>11</v>
      </c>
      <c r="D36" s="5">
        <f t="shared" si="14"/>
        <v>12</v>
      </c>
      <c r="E36" s="5">
        <f t="shared" si="14"/>
        <v>13</v>
      </c>
      <c r="F36" s="5">
        <f t="shared" si="14"/>
        <v>14</v>
      </c>
      <c r="G36" s="5">
        <f t="shared" si="14"/>
        <v>15</v>
      </c>
      <c r="H36" s="5"/>
      <c r="I36" s="8">
        <f>IF(O35="","",IF(O35&lt;31,O35+1,""))</f>
        <v>15</v>
      </c>
      <c r="J36" s="5">
        <f t="shared" si="15"/>
        <v>16</v>
      </c>
      <c r="K36" s="5">
        <f t="shared" si="15"/>
        <v>17</v>
      </c>
      <c r="L36" s="5">
        <f t="shared" si="15"/>
        <v>18</v>
      </c>
      <c r="M36" s="5">
        <f t="shared" si="15"/>
        <v>19</v>
      </c>
      <c r="N36" s="5">
        <f t="shared" si="15"/>
        <v>20</v>
      </c>
      <c r="O36" s="5">
        <f t="shared" si="15"/>
        <v>21</v>
      </c>
      <c r="Q36" t="s">
        <v>390</v>
      </c>
      <c r="R36" s="62" t="s">
        <v>274</v>
      </c>
      <c r="S36" s="15"/>
      <c r="BK36" t="s">
        <v>1059</v>
      </c>
    </row>
    <row r="37" spans="1:63" ht="12.75" customHeight="1">
      <c r="A37" s="8">
        <f>IF(G36="","",IF(G36&lt;30,G36+1,""))</f>
        <v>16</v>
      </c>
      <c r="B37" s="5">
        <f t="shared" si="14"/>
        <v>17</v>
      </c>
      <c r="C37" s="5">
        <f t="shared" si="14"/>
        <v>18</v>
      </c>
      <c r="D37" s="5">
        <f t="shared" si="14"/>
        <v>19</v>
      </c>
      <c r="E37" s="5">
        <f t="shared" si="14"/>
        <v>20</v>
      </c>
      <c r="F37" s="5">
        <f t="shared" si="14"/>
        <v>21</v>
      </c>
      <c r="G37" s="5">
        <f t="shared" si="14"/>
        <v>22</v>
      </c>
      <c r="H37" s="5"/>
      <c r="I37" s="8">
        <f>IF(O36="","",IF(O36&lt;31,O36+1,""))</f>
        <v>22</v>
      </c>
      <c r="J37" s="5">
        <f t="shared" si="15"/>
        <v>23</v>
      </c>
      <c r="K37" s="5">
        <f t="shared" si="15"/>
        <v>24</v>
      </c>
      <c r="L37" s="5">
        <f t="shared" si="15"/>
        <v>25</v>
      </c>
      <c r="M37" s="5">
        <f t="shared" si="15"/>
        <v>26</v>
      </c>
      <c r="N37" s="5">
        <f t="shared" si="15"/>
        <v>27</v>
      </c>
      <c r="O37" s="5">
        <f t="shared" si="15"/>
        <v>28</v>
      </c>
      <c r="Q37" t="s">
        <v>704</v>
      </c>
      <c r="R37" s="62" t="s">
        <v>702</v>
      </c>
      <c r="S37" s="15"/>
      <c r="BK37" t="s">
        <v>1061</v>
      </c>
    </row>
    <row r="38" spans="1:63" ht="12.75" customHeight="1">
      <c r="A38" s="8">
        <f>IF(G37="","",IF(G37&lt;30,G37+1,""))</f>
        <v>23</v>
      </c>
      <c r="B38" s="5">
        <f t="shared" si="14"/>
        <v>24</v>
      </c>
      <c r="C38" s="5">
        <f t="shared" si="14"/>
        <v>25</v>
      </c>
      <c r="D38" s="5">
        <f t="shared" si="14"/>
        <v>26</v>
      </c>
      <c r="E38" s="5">
        <f t="shared" si="14"/>
        <v>27</v>
      </c>
      <c r="F38" s="5">
        <f t="shared" si="14"/>
        <v>28</v>
      </c>
      <c r="G38" s="5">
        <f t="shared" si="14"/>
        <v>29</v>
      </c>
      <c r="H38" s="5"/>
      <c r="I38" s="10">
        <f>IF(O37="","",IF(O37&lt;31,O37+1,""))</f>
        <v>29</v>
      </c>
      <c r="J38" s="5">
        <f t="shared" si="15"/>
        <v>30</v>
      </c>
      <c r="K38" s="5">
        <f t="shared" si="15"/>
        <v>31</v>
      </c>
      <c r="L38" s="5">
        <f t="shared" si="15"/>
      </c>
      <c r="M38" s="5">
        <f t="shared" si="15"/>
      </c>
      <c r="N38" s="5">
        <f t="shared" si="15"/>
      </c>
      <c r="O38" s="5">
        <f t="shared" si="15"/>
      </c>
      <c r="Q38" t="s">
        <v>1303</v>
      </c>
      <c r="R38" s="32" t="s">
        <v>1316</v>
      </c>
      <c r="S38" s="15"/>
      <c r="BK38" t="s">
        <v>1062</v>
      </c>
    </row>
    <row r="39" spans="1:63" ht="12.75" customHeight="1">
      <c r="A39" s="8">
        <f>IF(G38="","",IF(G38&lt;30,G38+1,""))</f>
        <v>30</v>
      </c>
      <c r="B39" s="5">
        <f t="shared" si="14"/>
      </c>
      <c r="C39" s="5">
        <f t="shared" si="14"/>
      </c>
      <c r="D39" s="5">
        <f t="shared" si="14"/>
      </c>
      <c r="E39" s="5">
        <f t="shared" si="14"/>
      </c>
      <c r="F39" s="5">
        <f t="shared" si="14"/>
      </c>
      <c r="G39" s="5">
        <f t="shared" si="14"/>
      </c>
      <c r="H39" s="5"/>
      <c r="I39" s="10">
        <f>IF(O38="","",IF(O38&lt;31,O38+1,""))</f>
      </c>
      <c r="J39" s="5">
        <f t="shared" si="15"/>
      </c>
      <c r="K39" s="5">
        <f t="shared" si="15"/>
      </c>
      <c r="L39" s="5">
        <f t="shared" si="15"/>
      </c>
      <c r="M39" s="5">
        <f t="shared" si="15"/>
      </c>
      <c r="N39" s="5">
        <f t="shared" si="15"/>
      </c>
      <c r="O39" s="5">
        <f t="shared" si="15"/>
      </c>
      <c r="Q39" t="s">
        <v>24</v>
      </c>
      <c r="R39" s="32" t="s">
        <v>25</v>
      </c>
      <c r="S39" s="32"/>
      <c r="BK39" t="s">
        <v>1063</v>
      </c>
    </row>
    <row r="40" spans="1:63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t="s">
        <v>501</v>
      </c>
      <c r="R40" s="32" t="s">
        <v>500</v>
      </c>
      <c r="S40" s="15"/>
      <c r="BK40" t="s">
        <v>1060</v>
      </c>
    </row>
    <row r="41" spans="1:19" ht="12.75" customHeight="1">
      <c r="A41" s="5"/>
      <c r="B41" s="5"/>
      <c r="C41" s="5"/>
      <c r="D41" s="6" t="str">
        <f>VLOOKUP(5,$U$18:$BW$29,$I$1)&amp;" "&amp;$E$1</f>
        <v>Mayo 2023</v>
      </c>
      <c r="E41" s="5"/>
      <c r="F41" s="5"/>
      <c r="G41" s="5"/>
      <c r="H41" s="5"/>
      <c r="I41" s="5"/>
      <c r="J41" s="5"/>
      <c r="K41" s="5"/>
      <c r="L41" s="6" t="str">
        <f>VLOOKUP(11,$U$18:$BW$29,$I$1)&amp;" "&amp;$E$1</f>
        <v>Noviembre 2023</v>
      </c>
      <c r="M41" s="5"/>
      <c r="N41" s="5"/>
      <c r="O41" s="5"/>
      <c r="Q41" t="s">
        <v>419</v>
      </c>
      <c r="R41" s="62" t="s">
        <v>411</v>
      </c>
      <c r="S41" s="15"/>
    </row>
    <row r="42" spans="1:80" ht="16.5">
      <c r="A42" s="11" t="str">
        <f>$A$6</f>
        <v>Domingo</v>
      </c>
      <c r="B42" s="12" t="str">
        <f>$B$6</f>
        <v>Lunes</v>
      </c>
      <c r="C42" s="12" t="str">
        <f>$C$6</f>
        <v>Martes</v>
      </c>
      <c r="D42" s="12" t="str">
        <f>$D$6</f>
        <v>Miércoles</v>
      </c>
      <c r="E42" s="12" t="str">
        <f>$E$6</f>
        <v>Jueves</v>
      </c>
      <c r="F42" s="12" t="str">
        <f>$F$6</f>
        <v>Viernes</v>
      </c>
      <c r="G42" s="12" t="str">
        <f>$G$6</f>
        <v>Sábado</v>
      </c>
      <c r="H42" s="12"/>
      <c r="I42" s="11" t="str">
        <f>$A$6</f>
        <v>Domingo</v>
      </c>
      <c r="J42" s="12" t="str">
        <f>$B$6</f>
        <v>Lunes</v>
      </c>
      <c r="K42" s="12" t="str">
        <f>$C$6</f>
        <v>Martes</v>
      </c>
      <c r="L42" s="12" t="str">
        <f>$D$6</f>
        <v>Miércoles</v>
      </c>
      <c r="M42" s="12" t="str">
        <f>$E$6</f>
        <v>Jueves</v>
      </c>
      <c r="N42" s="12" t="str">
        <f>$F$6</f>
        <v>Viernes</v>
      </c>
      <c r="O42" s="12" t="str">
        <f>$G$6</f>
        <v>Sábado</v>
      </c>
      <c r="P42" s="7"/>
      <c r="Q42" t="s">
        <v>294</v>
      </c>
      <c r="R42" s="62" t="s">
        <v>294</v>
      </c>
      <c r="S42" s="15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CB42" s="7"/>
    </row>
    <row r="43" spans="1:80" ht="12.75" customHeight="1">
      <c r="A43" s="13">
        <f>IF($O$1+120+$L$1+INT(-($O$1+120+$L$1)/7+1)*7=A$2,1,"")</f>
      </c>
      <c r="B43" s="9">
        <f aca="true" t="shared" si="16" ref="B43:G43">IF($O$1+120+$L$1+INT(-($O$1+120+$L$1)/7+1)*7=B$2,1,IF(A43&lt;&gt;"",A43+1,""))</f>
        <v>1</v>
      </c>
      <c r="C43" s="9">
        <f t="shared" si="16"/>
        <v>2</v>
      </c>
      <c r="D43" s="9">
        <f t="shared" si="16"/>
        <v>3</v>
      </c>
      <c r="E43" s="9">
        <f t="shared" si="16"/>
        <v>4</v>
      </c>
      <c r="F43" s="9">
        <f t="shared" si="16"/>
        <v>5</v>
      </c>
      <c r="G43" s="9">
        <f t="shared" si="16"/>
        <v>6</v>
      </c>
      <c r="H43" s="9"/>
      <c r="I43" s="13">
        <f>IF($O$1+304+$L$1+INT(-($O$1+304+$L$1)/7+1)*7=I$2,1,"")</f>
      </c>
      <c r="J43" s="9">
        <f aca="true" t="shared" si="17" ref="J43:O43">IF($O$1+304+$L$1+INT(-($O$1+304+$L$1)/7+1)*7=J$2,1,IF(I43&lt;&gt;"",I43+1,""))</f>
      </c>
      <c r="K43" s="9">
        <f t="shared" si="17"/>
      </c>
      <c r="L43" s="9">
        <f t="shared" si="17"/>
        <v>1</v>
      </c>
      <c r="M43" s="9">
        <f t="shared" si="17"/>
        <v>2</v>
      </c>
      <c r="N43" s="9">
        <f t="shared" si="17"/>
        <v>3</v>
      </c>
      <c r="O43" s="9">
        <f t="shared" si="17"/>
        <v>4</v>
      </c>
      <c r="P43" s="3"/>
      <c r="Q43" t="s">
        <v>827</v>
      </c>
      <c r="R43" s="62" t="s">
        <v>854</v>
      </c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CB43" s="3"/>
    </row>
    <row r="44" spans="1:18" ht="12.75" customHeight="1">
      <c r="A44" s="8">
        <f>IF(G43="","",IF(G43&lt;31,G43+1,""))</f>
        <v>7</v>
      </c>
      <c r="B44" s="5">
        <f aca="true" t="shared" si="18" ref="B44:G48">IF(A44="","",IF(A44&lt;31,A44+1,""))</f>
        <v>8</v>
      </c>
      <c r="C44" s="5">
        <f t="shared" si="18"/>
        <v>9</v>
      </c>
      <c r="D44" s="5">
        <f t="shared" si="18"/>
        <v>10</v>
      </c>
      <c r="E44" s="5">
        <f t="shared" si="18"/>
        <v>11</v>
      </c>
      <c r="F44" s="5">
        <f t="shared" si="18"/>
        <v>12</v>
      </c>
      <c r="G44" s="5">
        <f t="shared" si="18"/>
        <v>13</v>
      </c>
      <c r="H44" s="5"/>
      <c r="I44" s="10">
        <f>IF(O43="","",IF(O43&lt;30,O43+1,""))</f>
        <v>5</v>
      </c>
      <c r="J44" s="5">
        <f aca="true" t="shared" si="19" ref="J44:O48">IF(I44="","",IF(I44&lt;30,I44+1,""))</f>
        <v>6</v>
      </c>
      <c r="K44" s="5">
        <f t="shared" si="19"/>
        <v>7</v>
      </c>
      <c r="L44" s="5">
        <f t="shared" si="19"/>
        <v>8</v>
      </c>
      <c r="M44" s="5">
        <f t="shared" si="19"/>
        <v>9</v>
      </c>
      <c r="N44" s="5">
        <f t="shared" si="19"/>
        <v>10</v>
      </c>
      <c r="O44" s="5">
        <f t="shared" si="19"/>
        <v>11</v>
      </c>
      <c r="Q44" t="s">
        <v>559</v>
      </c>
      <c r="R44" s="62" t="s">
        <v>606</v>
      </c>
    </row>
    <row r="45" spans="1:19" ht="12.75" customHeight="1">
      <c r="A45" s="8">
        <f>IF(G44="","",IF(G44&lt;31,G44+1,""))</f>
        <v>14</v>
      </c>
      <c r="B45" s="5">
        <f t="shared" si="18"/>
        <v>15</v>
      </c>
      <c r="C45" s="5">
        <f t="shared" si="18"/>
        <v>16</v>
      </c>
      <c r="D45" s="5">
        <f t="shared" si="18"/>
        <v>17</v>
      </c>
      <c r="E45" s="5">
        <f t="shared" si="18"/>
        <v>18</v>
      </c>
      <c r="F45" s="5">
        <f t="shared" si="18"/>
        <v>19</v>
      </c>
      <c r="G45" s="5">
        <f t="shared" si="18"/>
        <v>20</v>
      </c>
      <c r="H45" s="5"/>
      <c r="I45" s="10">
        <f>IF(O44="","",IF(O44&lt;30,O44+1,""))</f>
        <v>12</v>
      </c>
      <c r="J45" s="5">
        <f t="shared" si="19"/>
        <v>13</v>
      </c>
      <c r="K45" s="5">
        <f t="shared" si="19"/>
        <v>14</v>
      </c>
      <c r="L45" s="5">
        <f t="shared" si="19"/>
        <v>15</v>
      </c>
      <c r="M45" s="5">
        <f t="shared" si="19"/>
        <v>16</v>
      </c>
      <c r="N45" s="5">
        <f t="shared" si="19"/>
        <v>17</v>
      </c>
      <c r="O45" s="5">
        <f t="shared" si="19"/>
        <v>18</v>
      </c>
      <c r="Q45" t="s">
        <v>1995</v>
      </c>
      <c r="R45" s="32" t="s">
        <v>1996</v>
      </c>
      <c r="S45" s="15"/>
    </row>
    <row r="46" spans="1:19" ht="12.75" customHeight="1">
      <c r="A46" s="8">
        <f>IF(G45="","",IF(G45&lt;31,G45+1,""))</f>
        <v>21</v>
      </c>
      <c r="B46" s="5">
        <f t="shared" si="18"/>
        <v>22</v>
      </c>
      <c r="C46" s="5">
        <f t="shared" si="18"/>
        <v>23</v>
      </c>
      <c r="D46" s="5">
        <f t="shared" si="18"/>
        <v>24</v>
      </c>
      <c r="E46" s="5">
        <f t="shared" si="18"/>
        <v>25</v>
      </c>
      <c r="F46" s="5">
        <f t="shared" si="18"/>
        <v>26</v>
      </c>
      <c r="G46" s="5">
        <f t="shared" si="18"/>
        <v>27</v>
      </c>
      <c r="H46" s="5"/>
      <c r="I46" s="10">
        <f>IF(O45="","",IF(O45&lt;30,O45+1,""))</f>
        <v>19</v>
      </c>
      <c r="J46" s="5">
        <f t="shared" si="19"/>
        <v>20</v>
      </c>
      <c r="K46" s="5">
        <f t="shared" si="19"/>
        <v>21</v>
      </c>
      <c r="L46" s="5">
        <f t="shared" si="19"/>
        <v>22</v>
      </c>
      <c r="M46" s="5">
        <f t="shared" si="19"/>
        <v>23</v>
      </c>
      <c r="N46" s="5">
        <f t="shared" si="19"/>
        <v>24</v>
      </c>
      <c r="O46" s="5">
        <f t="shared" si="19"/>
        <v>25</v>
      </c>
      <c r="Q46" t="s">
        <v>825</v>
      </c>
      <c r="R46" s="62" t="s">
        <v>846</v>
      </c>
      <c r="S46" s="15"/>
    </row>
    <row r="47" spans="1:19" ht="12.75" customHeight="1">
      <c r="A47" s="8">
        <f>IF(G46="","",IF(G46&lt;31,G46+1,""))</f>
        <v>28</v>
      </c>
      <c r="B47" s="5">
        <f t="shared" si="18"/>
        <v>29</v>
      </c>
      <c r="C47" s="5">
        <f t="shared" si="18"/>
        <v>30</v>
      </c>
      <c r="D47" s="5">
        <f t="shared" si="18"/>
        <v>31</v>
      </c>
      <c r="E47" s="5">
        <f t="shared" si="18"/>
      </c>
      <c r="F47" s="5">
        <f t="shared" si="18"/>
      </c>
      <c r="G47" s="5">
        <f t="shared" si="18"/>
      </c>
      <c r="H47" s="5"/>
      <c r="I47" s="10">
        <f>IF(O46="","",IF(O46&lt;30,O46+1,""))</f>
        <v>26</v>
      </c>
      <c r="J47" s="5">
        <f t="shared" si="19"/>
        <v>27</v>
      </c>
      <c r="K47" s="5">
        <f t="shared" si="19"/>
        <v>28</v>
      </c>
      <c r="L47" s="5">
        <f t="shared" si="19"/>
        <v>29</v>
      </c>
      <c r="M47" s="5">
        <f t="shared" si="19"/>
        <v>30</v>
      </c>
      <c r="N47" s="5">
        <f t="shared" si="19"/>
      </c>
      <c r="O47" s="5">
        <f t="shared" si="19"/>
      </c>
      <c r="Q47" t="s">
        <v>458</v>
      </c>
      <c r="R47" s="32" t="s">
        <v>460</v>
      </c>
      <c r="S47" s="15"/>
    </row>
    <row r="48" spans="1:19" ht="12.75" customHeight="1">
      <c r="A48" s="8">
        <f>IF(G47="","",IF(G47&lt;31,G47+1,""))</f>
      </c>
      <c r="B48" s="5">
        <f t="shared" si="18"/>
      </c>
      <c r="C48" s="5">
        <f t="shared" si="18"/>
      </c>
      <c r="D48" s="5">
        <f t="shared" si="18"/>
      </c>
      <c r="E48" s="5">
        <f t="shared" si="18"/>
      </c>
      <c r="F48" s="5">
        <f t="shared" si="18"/>
      </c>
      <c r="G48" s="5">
        <f t="shared" si="18"/>
      </c>
      <c r="H48" s="5"/>
      <c r="I48" s="10">
        <f>IF(O47="","",IF(O47&lt;30,O47+1,""))</f>
      </c>
      <c r="J48" s="5">
        <f t="shared" si="19"/>
      </c>
      <c r="K48" s="5">
        <f t="shared" si="19"/>
      </c>
      <c r="L48" s="5">
        <f t="shared" si="19"/>
      </c>
      <c r="M48" s="5">
        <f t="shared" si="19"/>
      </c>
      <c r="N48" s="5">
        <f t="shared" si="19"/>
      </c>
      <c r="O48" s="5">
        <f t="shared" si="19"/>
      </c>
      <c r="Q48" t="s">
        <v>2221</v>
      </c>
      <c r="R48" s="32" t="s">
        <v>2228</v>
      </c>
      <c r="S48" s="60"/>
    </row>
    <row r="49" spans="1:18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Q49" t="s">
        <v>593</v>
      </c>
      <c r="R49" s="62" t="s">
        <v>633</v>
      </c>
    </row>
    <row r="50" spans="1:18" ht="12.75" customHeight="1">
      <c r="A50" s="5"/>
      <c r="B50" s="5"/>
      <c r="C50" s="5"/>
      <c r="D50" s="36" t="str">
        <f>VLOOKUP(6,$U$18:$BW$29,$I$1)&amp;" "&amp;$E$1</f>
        <v>Junio 2023</v>
      </c>
      <c r="E50" s="5"/>
      <c r="F50" s="5"/>
      <c r="G50" s="5"/>
      <c r="H50" s="5"/>
      <c r="I50" s="5"/>
      <c r="J50" s="5"/>
      <c r="K50" s="5"/>
      <c r="L50" s="6" t="str">
        <f>VLOOKUP(12,$U$18:$BW$29,$I$1)&amp;" "&amp;$E$1</f>
        <v>Diciembre 2023</v>
      </c>
      <c r="M50" s="5"/>
      <c r="N50" s="5"/>
      <c r="O50" s="5"/>
      <c r="Q50" t="s">
        <v>2219</v>
      </c>
      <c r="R50" s="32" t="s">
        <v>2226</v>
      </c>
    </row>
    <row r="51" spans="1:80" ht="16.5" customHeight="1">
      <c r="A51" s="11" t="str">
        <f>$A$6</f>
        <v>Domingo</v>
      </c>
      <c r="B51" s="12" t="str">
        <f>$B$6</f>
        <v>Lunes</v>
      </c>
      <c r="C51" s="12" t="str">
        <f>$C$6</f>
        <v>Martes</v>
      </c>
      <c r="D51" s="12" t="str">
        <f>$D$6</f>
        <v>Miércoles</v>
      </c>
      <c r="E51" s="12" t="str">
        <f>$E$6</f>
        <v>Jueves</v>
      </c>
      <c r="F51" s="12" t="str">
        <f>$F$6</f>
        <v>Viernes</v>
      </c>
      <c r="G51" s="12" t="str">
        <f>$G$6</f>
        <v>Sábado</v>
      </c>
      <c r="H51" s="12"/>
      <c r="I51" s="11" t="str">
        <f>$A$6</f>
        <v>Domingo</v>
      </c>
      <c r="J51" s="12" t="str">
        <f>$B$6</f>
        <v>Lunes</v>
      </c>
      <c r="K51" s="12" t="str">
        <f>$C$6</f>
        <v>Martes</v>
      </c>
      <c r="L51" s="12" t="str">
        <f>$D$6</f>
        <v>Miércoles</v>
      </c>
      <c r="M51" s="12" t="str">
        <f>$E$6</f>
        <v>Jueves</v>
      </c>
      <c r="N51" s="12" t="str">
        <f>$F$6</f>
        <v>Viernes</v>
      </c>
      <c r="O51" s="12" t="str">
        <f>$G$6</f>
        <v>Sábado</v>
      </c>
      <c r="P51" s="7"/>
      <c r="Q51" t="s">
        <v>395</v>
      </c>
      <c r="R51" s="62" t="s">
        <v>619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CB51" s="7"/>
    </row>
    <row r="52" spans="1:80" ht="12.75" customHeight="1">
      <c r="A52" s="13">
        <f>IF($O$1+151+$L$1+INT(-($O$1+151+$L$1)/7+1)*7=A$2,1,"")</f>
      </c>
      <c r="B52" s="9">
        <f aca="true" t="shared" si="20" ref="B52:G52">IF($O$1+151+$L$1+INT(-($O$1+151+$L$1)/7+1)*7=B$2,1,IF(A52&lt;&gt;"",A52+1,""))</f>
      </c>
      <c r="C52" s="9">
        <f t="shared" si="20"/>
      </c>
      <c r="D52" s="9">
        <f t="shared" si="20"/>
      </c>
      <c r="E52" s="9">
        <f t="shared" si="20"/>
        <v>1</v>
      </c>
      <c r="F52" s="9">
        <f t="shared" si="20"/>
        <v>2</v>
      </c>
      <c r="G52" s="9">
        <f t="shared" si="20"/>
        <v>3</v>
      </c>
      <c r="H52" s="9"/>
      <c r="I52" s="13">
        <f>IF($O$1+334+$L$1+INT(-($O$1+334+$L$1)/7+1)*7=I$2,1,"")</f>
      </c>
      <c r="J52" s="9">
        <f aca="true" t="shared" si="21" ref="J52:O52">IF($O$1+334+$L$1+INT(-($O$1+334+$L$1)/7+1)*7=J$2,1,IF(I52&lt;&gt;"",I52+1,""))</f>
      </c>
      <c r="K52" s="9">
        <f t="shared" si="21"/>
      </c>
      <c r="L52" s="9">
        <f t="shared" si="21"/>
      </c>
      <c r="M52" s="9">
        <f t="shared" si="21"/>
      </c>
      <c r="N52" s="9">
        <f t="shared" si="21"/>
        <v>1</v>
      </c>
      <c r="O52" s="9">
        <f t="shared" si="21"/>
        <v>2</v>
      </c>
      <c r="P52" s="3"/>
      <c r="Q52" t="s">
        <v>391</v>
      </c>
      <c r="R52" s="62" t="s">
        <v>291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CB52" s="3"/>
    </row>
    <row r="53" spans="1:18" ht="12.75" customHeight="1">
      <c r="A53" s="8">
        <f>IF(G52="","",IF(G52&lt;30,G52+1,""))</f>
        <v>4</v>
      </c>
      <c r="B53" s="5">
        <f aca="true" t="shared" si="22" ref="B53:G57">IF(A53="","",IF(A53&lt;30,A53+1,""))</f>
        <v>5</v>
      </c>
      <c r="C53" s="5">
        <f t="shared" si="22"/>
        <v>6</v>
      </c>
      <c r="D53" s="5">
        <f t="shared" si="22"/>
        <v>7</v>
      </c>
      <c r="E53" s="5">
        <f t="shared" si="22"/>
        <v>8</v>
      </c>
      <c r="F53" s="5">
        <f t="shared" si="22"/>
        <v>9</v>
      </c>
      <c r="G53" s="5">
        <f t="shared" si="22"/>
        <v>10</v>
      </c>
      <c r="H53" s="5"/>
      <c r="I53" s="10">
        <f>IF(O52="","",IF(O52&lt;31,O52+1,""))</f>
        <v>3</v>
      </c>
      <c r="J53" s="5">
        <f aca="true" t="shared" si="23" ref="J53:O57">IF(I53="","",IF(I53&lt;31,I53+1,""))</f>
        <v>4</v>
      </c>
      <c r="K53" s="5">
        <f t="shared" si="23"/>
        <v>5</v>
      </c>
      <c r="L53" s="5">
        <f t="shared" si="23"/>
        <v>6</v>
      </c>
      <c r="M53" s="5">
        <f t="shared" si="23"/>
        <v>7</v>
      </c>
      <c r="N53" s="5">
        <f t="shared" si="23"/>
        <v>8</v>
      </c>
      <c r="O53" s="5">
        <f t="shared" si="23"/>
        <v>9</v>
      </c>
      <c r="Q53" t="s">
        <v>1156</v>
      </c>
      <c r="R53" s="32" t="s">
        <v>1154</v>
      </c>
    </row>
    <row r="54" spans="1:18" ht="12.75" customHeight="1">
      <c r="A54" s="8">
        <f>IF(G53="","",IF(G53&lt;30,G53+1,""))</f>
        <v>11</v>
      </c>
      <c r="B54" s="5">
        <f t="shared" si="22"/>
        <v>12</v>
      </c>
      <c r="C54" s="5">
        <f t="shared" si="22"/>
        <v>13</v>
      </c>
      <c r="D54" s="5">
        <f t="shared" si="22"/>
        <v>14</v>
      </c>
      <c r="E54" s="5">
        <f t="shared" si="22"/>
        <v>15</v>
      </c>
      <c r="F54" s="5">
        <f t="shared" si="22"/>
        <v>16</v>
      </c>
      <c r="G54" s="5">
        <f t="shared" si="22"/>
        <v>17</v>
      </c>
      <c r="H54" s="5"/>
      <c r="I54" s="10">
        <f>IF(O53="","",IF(O53&lt;31,O53+1,""))</f>
        <v>10</v>
      </c>
      <c r="J54" s="5">
        <f t="shared" si="23"/>
        <v>11</v>
      </c>
      <c r="K54" s="5">
        <f t="shared" si="23"/>
        <v>12</v>
      </c>
      <c r="L54" s="5">
        <f t="shared" si="23"/>
        <v>13</v>
      </c>
      <c r="M54" s="5">
        <f t="shared" si="23"/>
        <v>14</v>
      </c>
      <c r="N54" s="5">
        <f t="shared" si="23"/>
        <v>15</v>
      </c>
      <c r="O54" s="5">
        <f t="shared" si="23"/>
        <v>16</v>
      </c>
      <c r="Q54" t="s">
        <v>597</v>
      </c>
      <c r="R54" s="62" t="s">
        <v>874</v>
      </c>
    </row>
    <row r="55" spans="1:18" ht="12.75" customHeight="1">
      <c r="A55" s="8">
        <f>IF(G54="","",IF(G54&lt;30,G54+1,""))</f>
        <v>18</v>
      </c>
      <c r="B55" s="5">
        <f t="shared" si="22"/>
        <v>19</v>
      </c>
      <c r="C55" s="5">
        <f t="shared" si="22"/>
        <v>20</v>
      </c>
      <c r="D55" s="5">
        <f t="shared" si="22"/>
        <v>21</v>
      </c>
      <c r="E55" s="5">
        <f t="shared" si="22"/>
        <v>22</v>
      </c>
      <c r="F55" s="5">
        <f t="shared" si="22"/>
        <v>23</v>
      </c>
      <c r="G55" s="5">
        <f t="shared" si="22"/>
        <v>24</v>
      </c>
      <c r="H55" s="5"/>
      <c r="I55" s="10">
        <f>IF(O54="","",IF(O54&lt;31,O54+1,""))</f>
        <v>17</v>
      </c>
      <c r="J55" s="5">
        <f t="shared" si="23"/>
        <v>18</v>
      </c>
      <c r="K55" s="5">
        <f t="shared" si="23"/>
        <v>19</v>
      </c>
      <c r="L55" s="5">
        <f t="shared" si="23"/>
        <v>20</v>
      </c>
      <c r="M55" s="5">
        <f t="shared" si="23"/>
        <v>21</v>
      </c>
      <c r="N55" s="5">
        <f t="shared" si="23"/>
        <v>22</v>
      </c>
      <c r="O55" s="5">
        <f t="shared" si="23"/>
        <v>23</v>
      </c>
      <c r="Q55" t="s">
        <v>682</v>
      </c>
      <c r="R55" s="62" t="s">
        <v>701</v>
      </c>
    </row>
    <row r="56" spans="1:18" ht="12.75" customHeight="1">
      <c r="A56" s="8">
        <f>IF(G55="","",IF(G55&lt;30,G55+1,""))</f>
        <v>25</v>
      </c>
      <c r="B56" s="5">
        <f t="shared" si="22"/>
        <v>26</v>
      </c>
      <c r="C56" s="5">
        <f t="shared" si="22"/>
        <v>27</v>
      </c>
      <c r="D56" s="5">
        <f t="shared" si="22"/>
        <v>28</v>
      </c>
      <c r="E56" s="5">
        <f t="shared" si="22"/>
        <v>29</v>
      </c>
      <c r="F56" s="5">
        <f t="shared" si="22"/>
        <v>30</v>
      </c>
      <c r="G56" s="5">
        <f t="shared" si="22"/>
      </c>
      <c r="H56" s="5"/>
      <c r="I56" s="10">
        <f>IF(O55="","",IF(O55&lt;31,O55+1,""))</f>
        <v>24</v>
      </c>
      <c r="J56" s="5">
        <f t="shared" si="23"/>
        <v>25</v>
      </c>
      <c r="K56" s="5">
        <f t="shared" si="23"/>
        <v>26</v>
      </c>
      <c r="L56" s="5">
        <f t="shared" si="23"/>
        <v>27</v>
      </c>
      <c r="M56" s="5">
        <f t="shared" si="23"/>
        <v>28</v>
      </c>
      <c r="N56" s="5">
        <f t="shared" si="23"/>
        <v>29</v>
      </c>
      <c r="O56" s="5">
        <f t="shared" si="23"/>
        <v>30</v>
      </c>
      <c r="Q56" t="s">
        <v>2222</v>
      </c>
      <c r="R56" s="32" t="s">
        <v>2229</v>
      </c>
    </row>
    <row r="57" spans="1:18" ht="12.75" customHeight="1">
      <c r="A57" s="8">
        <f>IF(G56="","",IF(G56&lt;30,G56+1,""))</f>
      </c>
      <c r="B57" s="5">
        <f t="shared" si="22"/>
      </c>
      <c r="C57" s="5">
        <f t="shared" si="22"/>
      </c>
      <c r="D57" s="5">
        <f t="shared" si="22"/>
      </c>
      <c r="E57" s="5">
        <f t="shared" si="22"/>
      </c>
      <c r="F57" s="5">
        <f t="shared" si="22"/>
      </c>
      <c r="G57" s="5">
        <f t="shared" si="22"/>
      </c>
      <c r="H57" s="5"/>
      <c r="I57" s="10">
        <f>IF(O56="","",IF(O56&lt;31,O56+1,""))</f>
        <v>31</v>
      </c>
      <c r="J57" s="5">
        <f t="shared" si="23"/>
      </c>
      <c r="K57" s="5">
        <f t="shared" si="23"/>
      </c>
      <c r="L57" s="5">
        <f t="shared" si="23"/>
      </c>
      <c r="M57" s="5">
        <f t="shared" si="23"/>
      </c>
      <c r="N57" s="5">
        <f t="shared" si="23"/>
      </c>
      <c r="O57" s="5">
        <f t="shared" si="23"/>
      </c>
      <c r="Q57" t="s">
        <v>637</v>
      </c>
      <c r="R57" s="62" t="s">
        <v>638</v>
      </c>
    </row>
    <row r="58" spans="17:18" ht="12.75" customHeight="1">
      <c r="Q58" t="s">
        <v>1071</v>
      </c>
      <c r="R58" s="60" t="s">
        <v>1081</v>
      </c>
    </row>
    <row r="59" spans="1:9" ht="14.25">
      <c r="A59" s="17" t="str">
        <f>VLOOKUP(13,$U$18:$BW$31,$I$1)&amp;": "&amp;IF(W3+W4&lt;=9,22+W3+W4,W3+W4-9)&amp;VLOOKUP(14,$U$18:$BW$31,$I$1)&amp;" "&amp;IF(W3+W4&lt;=9,VLOOKUP(3,$U$18:$BW$31,$I$1),VLOOKUP(4,$U$18:$BW$31,$I$1))</f>
        <v>Pascua: 9 de Abril</v>
      </c>
      <c r="B59" s="9"/>
      <c r="C59" s="3"/>
      <c r="D59">
        <f>IF($E$1=1582,"Hasta el 14/10 inclusive regía el calendario juliano.","")</f>
      </c>
      <c r="I59" s="18" t="str">
        <f>IF($E$1&gt;1980,"Feriados y días no laborables de fecha fija","")</f>
        <v>Feriados y días no laborables de fecha fija</v>
      </c>
    </row>
    <row r="60" ht="14.25">
      <c r="I60" s="19" t="str">
        <f>IF($E$1&gt;1980,"Feriados trasladables al lunes","")</f>
        <v>Feriados trasladables al lunes</v>
      </c>
    </row>
    <row r="61" spans="1:4" ht="12.75">
      <c r="A61" s="39">
        <f>IF(VLOOKUP(15,$U$18:$BW$32,$I$1)=0,"",VLOOKUP(15,$U$18:$BW$32,$I$1))</f>
      </c>
      <c r="D61" s="36"/>
    </row>
    <row r="62" ht="12.75">
      <c r="A62" s="3">
        <f>IF($E$1&lt;1582,"Antes de la reforma gregoriana de 1582 regía el calendario juliano.",IF($E$1=1582,"El calendario gregoriano comienza en 1582 cuando el papa Gregorio XIII corrigió el calendario juliano decidiendo pasar del jueves 4/10",IF($E$1&lt;1584,"La mayoría de los países católicos había adoptado el calendario gregoriano, no así los protestantes y ortodoxos que siguieron con el juliano.",IF($E$1&lt;1700,"En los países ortodoxos y protestantes aún regía el calendario juliano.",IF($E$1&lt;1752,"En Inglaterra y sus colonias, Rusia, Grecia, Turquía, Japón, China, Egipto aún rige el calendario juliano.",IF($E$1&lt;1873,"En Rusia, Grecia, Turquía,  China, Egipto aún rige el calendario juliano.",IF($E$1&lt;1918,"En Rusia y Grecia aún rige el calendario juliano.",IF($E$1&lt;1923,"En Grecia aún rige el calendario juliano.",""))))))))</f>
      </c>
    </row>
    <row r="63" ht="12.75">
      <c r="A63">
        <f>IF($E$1=1582,"al viernes 15/10. España y sus colonias, Portugal e Italia adoptan esta reforma inmediatamente; Francia y sus colonias, los Países","")</f>
      </c>
    </row>
    <row r="64" ht="12.75">
      <c r="A64">
        <f>IF($E$1=1582,"Bajos y Bélgica lo hacen más tarde en el mismo año y las zonas católicas de Alemania y Austria en el siguiente.","")</f>
      </c>
    </row>
  </sheetData>
  <sheetProtection sheet="1"/>
  <conditionalFormatting sqref="Q4">
    <cfRule type="expression" priority="13" dxfId="12" stopIfTrue="1">
      <formula>$R$1=R4</formula>
    </cfRule>
  </conditionalFormatting>
  <conditionalFormatting sqref="B43:G43 B7:G7">
    <cfRule type="cellIs" priority="14" dxfId="12" operator="equal" stopIfTrue="1">
      <formula>1</formula>
    </cfRule>
  </conditionalFormatting>
  <conditionalFormatting sqref="J55:O56 B36:G36 B46:G46 B47:D47">
    <cfRule type="cellIs" priority="15" dxfId="12" operator="equal" stopIfTrue="1">
      <formula>25</formula>
    </cfRule>
  </conditionalFormatting>
  <conditionalFormatting sqref="J53:O53">
    <cfRule type="cellIs" priority="16" dxfId="12" operator="equal" stopIfTrue="1">
      <formula>8</formula>
    </cfRule>
  </conditionalFormatting>
  <conditionalFormatting sqref="B54:G55">
    <cfRule type="cellIs" priority="17" dxfId="15" operator="equal" stopIfTrue="1">
      <formula>20</formula>
    </cfRule>
  </conditionalFormatting>
  <conditionalFormatting sqref="J28:O30 I36:L36 J35:L35 J25:O25 M35:O36 J20:O23 J17:L17">
    <cfRule type="cellIs" priority="18" dxfId="15" operator="equal" stopIfTrue="1">
      <formula>12</formula>
    </cfRule>
  </conditionalFormatting>
  <conditionalFormatting sqref="B34:G34">
    <cfRule type="cellIs" priority="19" dxfId="12" operator="equal" stopIfTrue="1">
      <formula>2</formula>
    </cfRule>
  </conditionalFormatting>
  <conditionalFormatting sqref="B28:G29">
    <cfRule type="cellIs" priority="20" dxfId="12" operator="equal" stopIfTrue="1">
      <formula>24</formula>
    </cfRule>
  </conditionalFormatting>
  <conditionalFormatting sqref="N26">
    <cfRule type="cellIs" priority="21" dxfId="0" operator="equal" stopIfTrue="1">
      <formula>12</formula>
    </cfRule>
  </conditionalFormatting>
  <conditionalFormatting sqref="I9:L9 J8:O8">
    <cfRule type="cellIs" priority="22" dxfId="12" operator="equal" stopIfTrue="1">
      <formula>9</formula>
    </cfRule>
  </conditionalFormatting>
  <conditionalFormatting sqref="I19:O19 J18:O18 M17">
    <cfRule type="cellIs" priority="23" dxfId="15" operator="equal" stopIfTrue="1">
      <formula>17</formula>
    </cfRule>
  </conditionalFormatting>
  <conditionalFormatting sqref="R4">
    <cfRule type="cellIs" priority="24" dxfId="12" operator="equal" stopIfTrue="1">
      <formula>$R$1</formula>
    </cfRule>
  </conditionalFormatting>
  <conditionalFormatting sqref="Q5:Q58">
    <cfRule type="expression" priority="1" dxfId="12" stopIfTrue="1">
      <formula>$R$1=R5</formula>
    </cfRule>
  </conditionalFormatting>
  <dataValidations count="1">
    <dataValidation type="list" allowBlank="1" showInputMessage="1" showErrorMessage="1" sqref="R1:S1">
      <formula1>$V$8:$BW$8</formula1>
    </dataValidation>
  </dataValidations>
  <hyperlinks>
    <hyperlink ref="BC18" r:id="rId1" tooltip="genièr" display="http://de.wiktionary.org/wiki/geni%C3%A8r"/>
    <hyperlink ref="BC19" r:id="rId2" tooltip="febrièr" display="http://de.wiktionary.org/wiki/febri%C3%A8r"/>
    <hyperlink ref="BC20" r:id="rId3" tooltip="març" display="http://de.wiktionary.org/wiki/mar%C3%A7"/>
    <hyperlink ref="BC21" r:id="rId4" tooltip="abril" display="http://de.wiktionary.org/wiki/abril"/>
    <hyperlink ref="BC22" r:id="rId5" tooltip="mai" display="http://de.wiktionary.org/wiki/mai"/>
    <hyperlink ref="BC23" r:id="rId6" tooltip="junh" display="http://de.wiktionary.org/wiki/junh"/>
    <hyperlink ref="BC24" r:id="rId7" tooltip="julhet" display="http://de.wiktionary.org/wiki/julhet"/>
    <hyperlink ref="BC25" r:id="rId8" tooltip="agost" display="http://de.wiktionary.org/wiki/agost"/>
    <hyperlink ref="BC26" r:id="rId9" tooltip="setembre" display="http://de.wiktionary.org/wiki/setembre"/>
    <hyperlink ref="BC27" r:id="rId10" tooltip="octòbre" display="http://de.wiktionary.org/wiki/oct%C3%B2bre"/>
    <hyperlink ref="BC28" r:id="rId11" tooltip="novembre" display="http://de.wiktionary.org/wiki/novembre"/>
  </hyperlinks>
  <printOptions/>
  <pageMargins left="0.7874015748031497" right="0.7874015748031497" top="1.1811023622047245" bottom="0.7874015748031497" header="0" footer="0"/>
  <pageSetup fitToHeight="1" fitToWidth="1" horizontalDpi="120" verticalDpi="120" orientation="portrait" paperSize="9" scale="59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showGridLines="0" showRowColHeader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0" customWidth="1"/>
    <col min="2" max="15" width="10.7109375" style="0" customWidth="1"/>
    <col min="16" max="17" width="7.7109375" style="0" customWidth="1"/>
    <col min="18" max="18" width="7.7109375" style="0" hidden="1" customWidth="1"/>
    <col min="19" max="25" width="9.7109375" style="0" hidden="1" customWidth="1"/>
    <col min="26" max="26" width="0" style="0" hidden="1" customWidth="1"/>
  </cols>
  <sheetData>
    <row r="1" spans="1:18" ht="12.75">
      <c r="A1" s="2" t="s">
        <v>1295</v>
      </c>
      <c r="E1" s="46">
        <v>2023</v>
      </c>
      <c r="F1" s="50">
        <f>IF(L1=1,"Bisiesto","")</f>
      </c>
      <c r="G1" s="31" t="s">
        <v>236</v>
      </c>
      <c r="H1" s="47" t="s">
        <v>235</v>
      </c>
      <c r="I1" s="51">
        <f>MATCH(H1,R28:Y28,0)</f>
        <v>2</v>
      </c>
      <c r="J1" s="51"/>
      <c r="K1" s="51"/>
      <c r="L1" s="58">
        <f>IF(MOD($E$1,400)=0,1,IF(AND(MOD($E$1,100)&lt;&gt;0,MOD($E$1,4)=0),1,0))</f>
        <v>0</v>
      </c>
      <c r="M1" s="51"/>
      <c r="N1" s="52" t="s">
        <v>182</v>
      </c>
      <c r="O1" s="53">
        <f>365*$E$1+1+INT(($E$1-1)/4)-INT(INT(($E$1-1)/100+1)*0.75)</f>
        <v>738886</v>
      </c>
      <c r="R1" t="s">
        <v>183</v>
      </c>
    </row>
    <row r="2" spans="1:25" ht="12.75">
      <c r="A2" s="44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5" t="str">
        <f>HLOOKUP(I1,R36:Y37,2)</f>
        <v>Español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R2" s="1" t="s">
        <v>177</v>
      </c>
      <c r="S2" s="15">
        <f>IF($E$1&lt;1583,15,15+INT($E$1/100)-INT($E$1/100/3)-INT($E$1/100/4))</f>
        <v>24</v>
      </c>
      <c r="T2" s="1" t="s">
        <v>178</v>
      </c>
      <c r="U2" s="15">
        <f>IF($E$1&lt;1583,6,MOD(4+INT($E$1/100)-INT($E$1/100/4),7))</f>
        <v>5</v>
      </c>
      <c r="V2" s="15"/>
      <c r="W2" s="15"/>
      <c r="X2" s="15"/>
      <c r="Y2" s="15"/>
    </row>
    <row r="3" spans="1:20" ht="12.75">
      <c r="A3" s="5"/>
      <c r="C3" s="4"/>
      <c r="R3" s="1" t="s">
        <v>179</v>
      </c>
      <c r="S3" s="16">
        <f>MOD(19*MOD($E$1,19)+S2,30)</f>
        <v>15</v>
      </c>
      <c r="T3" s="16">
        <f>IF(OR(AND(S3=29,S4=6),AND(S3=28,S4=6,MOD($E$1,19)&gt;10)),S3-7,S3)</f>
        <v>15</v>
      </c>
    </row>
    <row r="4" spans="1:20" ht="20.25">
      <c r="A4" s="33"/>
      <c r="H4" s="14" t="str">
        <f>"Fechas religiosas cristianas "&amp;IF($E$1&lt;1582,$E$1&amp;" (en este año regía el calendario juliano)",IF($E$1=1582,$E$1&amp;" (en este año rigió el calendario juliano hasta el 4/10) ",$E$1))</f>
        <v>Fechas religiosas cristianas 2023</v>
      </c>
      <c r="R4" s="1" t="s">
        <v>180</v>
      </c>
      <c r="S4" s="16">
        <f>MOD(2*MOD($E$1,4)+4*MOD($E$1,7)+6*S3+U2,7)</f>
        <v>3</v>
      </c>
      <c r="T4" s="16">
        <f>S4</f>
        <v>3</v>
      </c>
    </row>
    <row r="5" spans="1:23" ht="12.75" customHeight="1">
      <c r="A5" s="5"/>
      <c r="B5" s="5"/>
      <c r="C5" s="5"/>
      <c r="D5" s="6" t="str">
        <f>VLOOKUP(1,$R$38:$Y$49,$I$1)&amp;" "&amp;$E$1</f>
        <v>Enero 2023</v>
      </c>
      <c r="E5" s="5"/>
      <c r="F5" s="5"/>
      <c r="G5" s="5"/>
      <c r="H5" s="5"/>
      <c r="I5" s="5"/>
      <c r="J5" s="5"/>
      <c r="K5" s="5"/>
      <c r="L5" s="6" t="str">
        <f>VLOOKUP(7,$R$38:$Y$49,$I$1)&amp;" "&amp;$E$1</f>
        <v>Julio 2023</v>
      </c>
      <c r="M5" s="5"/>
      <c r="N5" s="5"/>
      <c r="O5" s="5"/>
      <c r="W5" s="16"/>
    </row>
    <row r="6" spans="1:22" ht="16.5" customHeight="1">
      <c r="A6" s="11" t="str">
        <f aca="true" t="shared" si="0" ref="A6:G6">VLOOKUP(A$2,$R$28:$Y$35,$I$1)</f>
        <v>Domingo</v>
      </c>
      <c r="B6" s="12" t="str">
        <f t="shared" si="0"/>
        <v>Lunes</v>
      </c>
      <c r="C6" s="12" t="str">
        <f t="shared" si="0"/>
        <v>Martes</v>
      </c>
      <c r="D6" s="12" t="str">
        <f t="shared" si="0"/>
        <v>Miércoles</v>
      </c>
      <c r="E6" s="12" t="str">
        <f t="shared" si="0"/>
        <v>Jueves</v>
      </c>
      <c r="F6" s="12" t="str">
        <f t="shared" si="0"/>
        <v>Viernes</v>
      </c>
      <c r="G6" s="12" t="str">
        <f t="shared" si="0"/>
        <v>Sábado</v>
      </c>
      <c r="H6" s="12"/>
      <c r="I6" s="11" t="str">
        <f>$A$6</f>
        <v>Domingo</v>
      </c>
      <c r="J6" s="12" t="str">
        <f>$B$6</f>
        <v>Lunes</v>
      </c>
      <c r="K6" s="12" t="str">
        <f>$C$6</f>
        <v>Martes</v>
      </c>
      <c r="L6" s="12" t="str">
        <f>$D$6</f>
        <v>Miércoles</v>
      </c>
      <c r="M6" s="12" t="str">
        <f>$E$6</f>
        <v>Jueves</v>
      </c>
      <c r="N6" s="12" t="str">
        <f>$F$6</f>
        <v>Viernes</v>
      </c>
      <c r="O6" s="12" t="str">
        <f>$G$6</f>
        <v>Sábado</v>
      </c>
      <c r="P6" s="7"/>
      <c r="Q6" s="7"/>
      <c r="S6" s="1" t="s">
        <v>186</v>
      </c>
      <c r="T6" s="1" t="s">
        <v>184</v>
      </c>
      <c r="U6" s="1" t="s">
        <v>185</v>
      </c>
      <c r="V6" s="1" t="s">
        <v>1301</v>
      </c>
    </row>
    <row r="7" spans="1:22" ht="12.75" customHeight="1">
      <c r="A7" s="8">
        <f>IF($O$1+INT(-$O$1/7+1)*7=A$2,1,"")</f>
        <v>1</v>
      </c>
      <c r="B7" s="5">
        <f aca="true" t="shared" si="1" ref="B7:G7">IF($O$1+INT(-$O$1/7+1)*7=B$2,1,IF(A7&lt;&gt;"",A7+1,""))</f>
        <v>2</v>
      </c>
      <c r="C7" s="5">
        <f t="shared" si="1"/>
        <v>3</v>
      </c>
      <c r="D7" s="5">
        <f t="shared" si="1"/>
        <v>4</v>
      </c>
      <c r="E7" s="5">
        <f t="shared" si="1"/>
        <v>5</v>
      </c>
      <c r="F7" s="113">
        <f t="shared" si="1"/>
        <v>6</v>
      </c>
      <c r="G7" s="5">
        <f t="shared" si="1"/>
        <v>7</v>
      </c>
      <c r="H7" s="34"/>
      <c r="I7" s="8">
        <f>IF($O$1+181+$L$1+INT(-($O$1+181+$L$1)/7+1)*7=I$2,1,"")</f>
      </c>
      <c r="J7" s="5">
        <f aca="true" t="shared" si="2" ref="J7:O7">IF($O$1+181+$L$1+INT(-($O$1+181+$L$1)/7+1)*7=J$2,1,IF(I7&lt;&gt;"",I7+1,""))</f>
      </c>
      <c r="K7" s="5">
        <f t="shared" si="2"/>
      </c>
      <c r="L7" s="5">
        <f t="shared" si="2"/>
      </c>
      <c r="M7" s="5">
        <f t="shared" si="2"/>
      </c>
      <c r="N7" s="5">
        <f t="shared" si="2"/>
      </c>
      <c r="O7" s="5">
        <f t="shared" si="2"/>
        <v>1</v>
      </c>
      <c r="R7" s="1" t="s">
        <v>1193</v>
      </c>
      <c r="S7">
        <f>IF(V7&lt;=31,V7,V7-31)</f>
        <v>5</v>
      </c>
      <c r="T7">
        <f>IF(V7&lt;=31,1,2)</f>
        <v>2</v>
      </c>
      <c r="U7">
        <f>U11-63</f>
        <v>738922</v>
      </c>
      <c r="V7">
        <f aca="true" t="shared" si="3" ref="V7:V14">U7-$O$1</f>
        <v>36</v>
      </c>
    </row>
    <row r="8" spans="1:22" ht="12.75" customHeight="1">
      <c r="A8" s="8">
        <f>IF(G7="","",IF(G7&lt;31,G7+1,""))</f>
        <v>8</v>
      </c>
      <c r="B8" s="5">
        <f aca="true" t="shared" si="4" ref="B8:G12">IF(A8="","",IF(A8&lt;31,A8+1,""))</f>
        <v>9</v>
      </c>
      <c r="C8" s="5">
        <f t="shared" si="4"/>
        <v>10</v>
      </c>
      <c r="D8" s="43">
        <f t="shared" si="4"/>
        <v>11</v>
      </c>
      <c r="E8" s="5">
        <f t="shared" si="4"/>
        <v>12</v>
      </c>
      <c r="F8" s="5">
        <f t="shared" si="4"/>
        <v>13</v>
      </c>
      <c r="G8" s="5">
        <f t="shared" si="4"/>
        <v>14</v>
      </c>
      <c r="H8" s="34"/>
      <c r="I8" s="8">
        <f>IF(O7="","",IF(O7&lt;31,O7+1,""))</f>
        <v>2</v>
      </c>
      <c r="J8" s="5">
        <f aca="true" t="shared" si="5" ref="J8:O12">IF(I8="","",IF(I8&lt;31,I8+1,""))</f>
        <v>3</v>
      </c>
      <c r="K8" s="5">
        <f t="shared" si="5"/>
        <v>4</v>
      </c>
      <c r="L8" s="5">
        <f t="shared" si="5"/>
        <v>5</v>
      </c>
      <c r="M8" s="5">
        <f t="shared" si="5"/>
        <v>6</v>
      </c>
      <c r="N8" s="5">
        <f t="shared" si="5"/>
        <v>7</v>
      </c>
      <c r="O8" s="5">
        <f t="shared" si="5"/>
        <v>8</v>
      </c>
      <c r="R8" s="1" t="s">
        <v>1002</v>
      </c>
      <c r="S8">
        <f>IF(V8&lt;=59+$L$1,V8-31,V8-59-$L$1)</f>
        <v>22</v>
      </c>
      <c r="T8">
        <f>IF(V8&lt;=59+$L$1,2,3)</f>
        <v>2</v>
      </c>
      <c r="U8">
        <f>U11-46</f>
        <v>738939</v>
      </c>
      <c r="V8">
        <f t="shared" si="3"/>
        <v>53</v>
      </c>
    </row>
    <row r="9" spans="1:22" ht="12.75" customHeight="1">
      <c r="A9" s="8">
        <f>IF(G8="","",IF(G8&lt;31,G8+1,""))</f>
        <v>15</v>
      </c>
      <c r="B9" s="5">
        <f t="shared" si="4"/>
        <v>16</v>
      </c>
      <c r="C9" s="5">
        <f t="shared" si="4"/>
        <v>17</v>
      </c>
      <c r="D9" s="5">
        <f t="shared" si="4"/>
        <v>18</v>
      </c>
      <c r="E9" s="5">
        <f t="shared" si="4"/>
        <v>19</v>
      </c>
      <c r="F9" s="5">
        <f t="shared" si="4"/>
        <v>20</v>
      </c>
      <c r="G9" s="5">
        <f t="shared" si="4"/>
        <v>21</v>
      </c>
      <c r="H9" s="34"/>
      <c r="I9" s="8">
        <f>IF(O8="","",IF(O8&lt;31,O8+1,""))</f>
        <v>9</v>
      </c>
      <c r="J9" s="5">
        <f t="shared" si="5"/>
        <v>10</v>
      </c>
      <c r="K9" s="5">
        <f t="shared" si="5"/>
        <v>11</v>
      </c>
      <c r="L9" s="5">
        <f t="shared" si="5"/>
        <v>12</v>
      </c>
      <c r="M9" s="5">
        <f t="shared" si="5"/>
        <v>13</v>
      </c>
      <c r="N9" s="5">
        <f t="shared" si="5"/>
        <v>14</v>
      </c>
      <c r="O9" s="5">
        <f t="shared" si="5"/>
        <v>15</v>
      </c>
      <c r="R9" s="1" t="s">
        <v>1281</v>
      </c>
      <c r="S9">
        <f>IF(V9&lt;=90+$L$1,V9-59-$L$1,V9-90-$L$1)</f>
        <v>2</v>
      </c>
      <c r="T9">
        <f>IF(V9&lt;=90+$L$1,3,4)</f>
        <v>4</v>
      </c>
      <c r="U9">
        <f>U11-7</f>
        <v>738978</v>
      </c>
      <c r="V9">
        <f t="shared" si="3"/>
        <v>92</v>
      </c>
    </row>
    <row r="10" spans="1:22" ht="12.75" customHeight="1">
      <c r="A10" s="8">
        <f>IF(G9="","",IF(G9&lt;31,G9+1,""))</f>
        <v>22</v>
      </c>
      <c r="B10" s="5">
        <f t="shared" si="4"/>
        <v>23</v>
      </c>
      <c r="C10" s="5">
        <f t="shared" si="4"/>
        <v>24</v>
      </c>
      <c r="D10" s="5">
        <f t="shared" si="4"/>
        <v>25</v>
      </c>
      <c r="E10" s="5">
        <f t="shared" si="4"/>
        <v>26</v>
      </c>
      <c r="F10" s="5">
        <f t="shared" si="4"/>
        <v>27</v>
      </c>
      <c r="G10" s="5">
        <f t="shared" si="4"/>
        <v>28</v>
      </c>
      <c r="H10" s="34"/>
      <c r="I10" s="8">
        <f>IF(O9="","",IF(O9&lt;31,O9+1,""))</f>
        <v>16</v>
      </c>
      <c r="J10" s="5">
        <f t="shared" si="5"/>
        <v>17</v>
      </c>
      <c r="K10" s="5">
        <f t="shared" si="5"/>
        <v>18</v>
      </c>
      <c r="L10" s="5">
        <f t="shared" si="5"/>
        <v>19</v>
      </c>
      <c r="M10" s="5">
        <f t="shared" si="5"/>
        <v>20</v>
      </c>
      <c r="N10" s="5">
        <f t="shared" si="5"/>
        <v>21</v>
      </c>
      <c r="O10" s="5">
        <f t="shared" si="5"/>
        <v>22</v>
      </c>
      <c r="R10" s="74" t="s">
        <v>1323</v>
      </c>
      <c r="S10">
        <f>IF(V10&lt;=90+$L$1,V10-59-$L$1,V10-90-$L$1)</f>
        <v>7</v>
      </c>
      <c r="T10">
        <f>IF(V10&lt;=90+$L$1,3,4)</f>
        <v>4</v>
      </c>
      <c r="U10">
        <f>U11-2</f>
        <v>738983</v>
      </c>
      <c r="V10">
        <f t="shared" si="3"/>
        <v>97</v>
      </c>
    </row>
    <row r="11" spans="1:30" ht="12.75" customHeight="1">
      <c r="A11" s="8">
        <f>IF(G10="","",IF(G10&lt;31,G10+1,""))</f>
        <v>29</v>
      </c>
      <c r="B11" s="5">
        <f t="shared" si="4"/>
        <v>30</v>
      </c>
      <c r="C11" s="5">
        <f t="shared" si="4"/>
        <v>31</v>
      </c>
      <c r="D11" s="5">
        <f t="shared" si="4"/>
      </c>
      <c r="E11" s="5">
        <f t="shared" si="4"/>
      </c>
      <c r="F11" s="5">
        <f t="shared" si="4"/>
      </c>
      <c r="G11" s="5">
        <f t="shared" si="4"/>
      </c>
      <c r="H11" s="34"/>
      <c r="I11" s="8">
        <f>IF(O10="","",IF(O10&lt;31,O10+1,""))</f>
        <v>23</v>
      </c>
      <c r="J11" s="5">
        <f t="shared" si="5"/>
        <v>24</v>
      </c>
      <c r="K11" s="5">
        <f t="shared" si="5"/>
        <v>25</v>
      </c>
      <c r="L11" s="5">
        <f t="shared" si="5"/>
        <v>26</v>
      </c>
      <c r="M11" s="5">
        <f t="shared" si="5"/>
        <v>27</v>
      </c>
      <c r="N11" s="5">
        <f t="shared" si="5"/>
        <v>28</v>
      </c>
      <c r="O11" s="5">
        <f t="shared" si="5"/>
        <v>29</v>
      </c>
      <c r="R11" s="1" t="s">
        <v>181</v>
      </c>
      <c r="S11" s="42">
        <f>IF(T3+T4&lt;=9,22+T3+T4,T3+T4-9)</f>
        <v>9</v>
      </c>
      <c r="T11" s="42">
        <f>IF(T3+T4&lt;=9,3,4)</f>
        <v>4</v>
      </c>
      <c r="U11" s="41">
        <f>365*E1+1+31*(T11-1)+S11+IF(T11&lt;3,INT((E1-1)/4)-INT(INT((E1-1)/100+1)*0.75),INT(E1/4)-INT(0.4*T11+2.3)-INT(INT((E1-1)/100+1)*0.75))</f>
        <v>738985</v>
      </c>
      <c r="V11">
        <f t="shared" si="3"/>
        <v>99</v>
      </c>
      <c r="AA11" s="40"/>
      <c r="AB11" s="40"/>
      <c r="AC11" s="40"/>
      <c r="AD11" s="40"/>
    </row>
    <row r="12" spans="1:22" ht="12.75" customHeight="1">
      <c r="A12" s="8">
        <f>IF(G11="","",IF(G11&lt;31,G11+1,""))</f>
      </c>
      <c r="B12" s="5">
        <f t="shared" si="4"/>
      </c>
      <c r="C12" s="5">
        <f t="shared" si="4"/>
      </c>
      <c r="D12" s="5">
        <f t="shared" si="4"/>
      </c>
      <c r="E12" s="5">
        <f t="shared" si="4"/>
      </c>
      <c r="F12" s="5">
        <f t="shared" si="4"/>
      </c>
      <c r="G12" s="5">
        <f t="shared" si="4"/>
      </c>
      <c r="H12" s="34"/>
      <c r="I12" s="8">
        <f>IF(O11="","",IF(O11&lt;31,O11+1,""))</f>
        <v>30</v>
      </c>
      <c r="J12" s="5">
        <f t="shared" si="5"/>
        <v>31</v>
      </c>
      <c r="K12" s="5">
        <f t="shared" si="5"/>
      </c>
      <c r="L12" s="5">
        <f t="shared" si="5"/>
      </c>
      <c r="M12" s="5">
        <f t="shared" si="5"/>
      </c>
      <c r="N12" s="5">
        <f t="shared" si="5"/>
      </c>
      <c r="O12" s="5">
        <f t="shared" si="5"/>
      </c>
      <c r="R12" s="1" t="s">
        <v>1003</v>
      </c>
      <c r="S12">
        <f>IF(V12&lt;=120+$L$1,V12-90-$L$1,V12-120-$L$1)</f>
        <v>18</v>
      </c>
      <c r="T12">
        <f>IF(V12&lt;=120+$L$1,4,5)</f>
        <v>5</v>
      </c>
      <c r="U12">
        <f>U11+39</f>
        <v>739024</v>
      </c>
      <c r="V12">
        <f t="shared" si="3"/>
        <v>138</v>
      </c>
    </row>
    <row r="13" spans="8:26" ht="12.75" customHeight="1">
      <c r="H13" s="34"/>
      <c r="R13" s="1" t="s">
        <v>1004</v>
      </c>
      <c r="S13">
        <f>IF(V13&lt;=151+$L$1,V13-120-$L$1,V13-151-$L$1)</f>
        <v>28</v>
      </c>
      <c r="T13">
        <f>IF(V13&lt;=151+$L$1,5,6)</f>
        <v>5</v>
      </c>
      <c r="U13">
        <f>U11+49</f>
        <v>739034</v>
      </c>
      <c r="V13">
        <f t="shared" si="3"/>
        <v>148</v>
      </c>
      <c r="Z13" s="40"/>
    </row>
    <row r="14" spans="4:22" ht="12.75">
      <c r="D14" s="2" t="str">
        <f>VLOOKUP(2,$R$38:$Y$49,$I$1)&amp;" "&amp;$E$1</f>
        <v>Febrero 2023</v>
      </c>
      <c r="H14" s="34"/>
      <c r="L14" s="2" t="str">
        <f>VLOOKUP(8,$R$38:$Y$49,$I$1)&amp;" "&amp;$E$1</f>
        <v>Agosto 2023</v>
      </c>
      <c r="R14" s="1" t="s">
        <v>1005</v>
      </c>
      <c r="S14">
        <f>IF(V14&lt;=151+$L$1,V14-120-$L$1,V14-151-$L$1)</f>
        <v>8</v>
      </c>
      <c r="T14">
        <f>IF(V14&lt;=151+$L$1,5,6)</f>
        <v>6</v>
      </c>
      <c r="U14">
        <f>U11+60</f>
        <v>739045</v>
      </c>
      <c r="V14">
        <f t="shared" si="3"/>
        <v>159</v>
      </c>
    </row>
    <row r="15" spans="1:21" ht="16.5" customHeight="1">
      <c r="A15" s="11" t="str">
        <f>$A$6</f>
        <v>Domingo</v>
      </c>
      <c r="B15" s="12" t="str">
        <f>$B$6</f>
        <v>Lunes</v>
      </c>
      <c r="C15" s="12" t="str">
        <f>$C$6</f>
        <v>Martes</v>
      </c>
      <c r="D15" s="12" t="str">
        <f>$D$6</f>
        <v>Miércoles</v>
      </c>
      <c r="E15" s="12" t="str">
        <f>$E$6</f>
        <v>Jueves</v>
      </c>
      <c r="F15" s="12" t="str">
        <f>$F$6</f>
        <v>Viernes</v>
      </c>
      <c r="G15" s="12" t="str">
        <f>$G$6</f>
        <v>Sábado</v>
      </c>
      <c r="H15" s="12"/>
      <c r="I15" s="11" t="str">
        <f>$A$6</f>
        <v>Domingo</v>
      </c>
      <c r="J15" s="12" t="str">
        <f>$B$6</f>
        <v>Lunes</v>
      </c>
      <c r="K15" s="12" t="str">
        <f>$C$6</f>
        <v>Martes</v>
      </c>
      <c r="L15" s="12" t="str">
        <f>$D$6</f>
        <v>Miércoles</v>
      </c>
      <c r="M15" s="12" t="str">
        <f>$E$6</f>
        <v>Jueves</v>
      </c>
      <c r="N15" s="12" t="str">
        <f>$F$6</f>
        <v>Viernes</v>
      </c>
      <c r="O15" s="12" t="str">
        <f>$G$6</f>
        <v>Sábado</v>
      </c>
      <c r="P15" s="7"/>
      <c r="R15" s="68" t="s">
        <v>1300</v>
      </c>
      <c r="U15">
        <f>IF(M47="",M46+3,M47+3)</f>
        <v>33</v>
      </c>
    </row>
    <row r="16" spans="1:20" ht="12.75" customHeight="1">
      <c r="A16" s="9">
        <f>IF($O$1+31+INT(-($O$1+31)/7+1)*7=A$2,1,"")</f>
      </c>
      <c r="B16" s="9">
        <f aca="true" t="shared" si="6" ref="B16:G16">IF($O$1+31+INT(-($O$1+31)/7+1)*7=B$2,1,IF(A16&lt;&gt;"",A16+1,""))</f>
      </c>
      <c r="C16" s="9">
        <f t="shared" si="6"/>
      </c>
      <c r="D16" s="9">
        <f t="shared" si="6"/>
        <v>1</v>
      </c>
      <c r="E16" s="9">
        <f t="shared" si="6"/>
        <v>2</v>
      </c>
      <c r="F16" s="9">
        <f t="shared" si="6"/>
        <v>3</v>
      </c>
      <c r="G16" s="9">
        <f t="shared" si="6"/>
        <v>4</v>
      </c>
      <c r="H16" s="9"/>
      <c r="I16" s="13">
        <f>IF($O$1+212+$L$1+INT(-($O$1+212+$L$1)/7+1)*7=I$2,1,"")</f>
      </c>
      <c r="J16" s="9">
        <f aca="true" t="shared" si="7" ref="J16:O16">IF($O$1+212+$L$1+INT(-($O$1+212+$L$1)/7+1)*7=J$2,1,IF(I16&lt;&gt;"",I16+1,""))</f>
      </c>
      <c r="K16" s="9">
        <f t="shared" si="7"/>
        <v>1</v>
      </c>
      <c r="L16" s="9">
        <f t="shared" si="7"/>
        <v>2</v>
      </c>
      <c r="M16" s="9">
        <f t="shared" si="7"/>
        <v>3</v>
      </c>
      <c r="N16" s="9">
        <f t="shared" si="7"/>
        <v>4</v>
      </c>
      <c r="O16" s="9">
        <f t="shared" si="7"/>
        <v>5</v>
      </c>
      <c r="P16" s="3"/>
      <c r="Q16" s="3"/>
      <c r="R16" s="1" t="s">
        <v>1006</v>
      </c>
      <c r="S16">
        <v>1</v>
      </c>
      <c r="T16">
        <v>1</v>
      </c>
    </row>
    <row r="17" spans="1:20" ht="12.75" customHeight="1">
      <c r="A17" s="8">
        <f>IF(G16="","",IF(G16&lt;IF($L$1=1,29,28),G16+1,""))</f>
        <v>5</v>
      </c>
      <c r="B17" s="5">
        <f aca="true" t="shared" si="8" ref="B17:G20">IF(A17="","",IF(A17&lt;IF($L$1=1,29,28),A17+1,""))</f>
        <v>6</v>
      </c>
      <c r="C17" s="5">
        <f t="shared" si="8"/>
        <v>7</v>
      </c>
      <c r="D17" s="5">
        <f t="shared" si="8"/>
        <v>8</v>
      </c>
      <c r="E17" s="5">
        <f t="shared" si="8"/>
        <v>9</v>
      </c>
      <c r="F17" s="5">
        <f t="shared" si="8"/>
        <v>10</v>
      </c>
      <c r="G17" s="5">
        <f t="shared" si="8"/>
        <v>11</v>
      </c>
      <c r="H17" s="5"/>
      <c r="I17" s="10">
        <f>IF(O16="","",IF(O16&lt;31,O16+1,""))</f>
        <v>6</v>
      </c>
      <c r="J17" s="5">
        <f aca="true" t="shared" si="9" ref="J17:O21">IF(I17="","",IF(I17&lt;31,I17+1,""))</f>
        <v>7</v>
      </c>
      <c r="K17" s="5">
        <f t="shared" si="9"/>
        <v>8</v>
      </c>
      <c r="L17" s="5">
        <f t="shared" si="9"/>
        <v>9</v>
      </c>
      <c r="M17" s="5">
        <f t="shared" si="9"/>
        <v>10</v>
      </c>
      <c r="N17" s="5">
        <f t="shared" si="9"/>
        <v>11</v>
      </c>
      <c r="O17" s="43">
        <f t="shared" si="9"/>
        <v>12</v>
      </c>
      <c r="R17" s="1" t="s">
        <v>1008</v>
      </c>
      <c r="S17">
        <v>6</v>
      </c>
      <c r="T17">
        <v>1</v>
      </c>
    </row>
    <row r="18" spans="1:20" ht="12.75" customHeight="1">
      <c r="A18" s="8">
        <f>IF(G17="","",IF(G17&lt;IF($L$1=1,29,28),G17+1,""))</f>
        <v>12</v>
      </c>
      <c r="B18" s="5">
        <f t="shared" si="8"/>
        <v>13</v>
      </c>
      <c r="C18" s="5">
        <f t="shared" si="8"/>
        <v>14</v>
      </c>
      <c r="D18" s="5">
        <f t="shared" si="8"/>
        <v>15</v>
      </c>
      <c r="E18" s="5">
        <f t="shared" si="8"/>
        <v>16</v>
      </c>
      <c r="F18" s="5">
        <f t="shared" si="8"/>
        <v>17</v>
      </c>
      <c r="G18" s="5">
        <f t="shared" si="8"/>
        <v>18</v>
      </c>
      <c r="H18" s="5"/>
      <c r="I18" s="10">
        <f>IF(O17="","",IF(O17&lt;31,O17+1,""))</f>
        <v>13</v>
      </c>
      <c r="J18" s="5">
        <f t="shared" si="9"/>
        <v>14</v>
      </c>
      <c r="K18" s="5">
        <f t="shared" si="9"/>
        <v>15</v>
      </c>
      <c r="L18" s="5">
        <f t="shared" si="9"/>
        <v>16</v>
      </c>
      <c r="M18" s="5">
        <f t="shared" si="9"/>
        <v>17</v>
      </c>
      <c r="N18" s="5">
        <f t="shared" si="9"/>
        <v>18</v>
      </c>
      <c r="O18" s="5">
        <f t="shared" si="9"/>
        <v>19</v>
      </c>
      <c r="R18" s="1" t="s">
        <v>1007</v>
      </c>
      <c r="S18">
        <v>19</v>
      </c>
      <c r="T18">
        <v>3</v>
      </c>
    </row>
    <row r="19" spans="1:20" ht="12.75" customHeight="1">
      <c r="A19" s="8">
        <f>IF(G18="","",IF(G18&lt;IF($L$1=1,29,28),G18+1,""))</f>
        <v>19</v>
      </c>
      <c r="B19" s="5">
        <f t="shared" si="8"/>
        <v>20</v>
      </c>
      <c r="C19" s="5">
        <f t="shared" si="8"/>
        <v>21</v>
      </c>
      <c r="D19" s="5">
        <f t="shared" si="8"/>
        <v>22</v>
      </c>
      <c r="E19" s="5">
        <f t="shared" si="8"/>
        <v>23</v>
      </c>
      <c r="F19" s="5">
        <f t="shared" si="8"/>
        <v>24</v>
      </c>
      <c r="G19" s="5">
        <f t="shared" si="8"/>
        <v>25</v>
      </c>
      <c r="H19" s="5"/>
      <c r="I19" s="10">
        <f>IF(O18="","",IF(O18&lt;31,O18+1,""))</f>
        <v>20</v>
      </c>
      <c r="J19" s="5">
        <f t="shared" si="9"/>
        <v>21</v>
      </c>
      <c r="K19" s="5">
        <f t="shared" si="9"/>
        <v>22</v>
      </c>
      <c r="L19" s="5">
        <f t="shared" si="9"/>
        <v>23</v>
      </c>
      <c r="M19" s="5">
        <f t="shared" si="9"/>
        <v>24</v>
      </c>
      <c r="N19" s="5">
        <f t="shared" si="9"/>
        <v>25</v>
      </c>
      <c r="O19" s="5">
        <f t="shared" si="9"/>
        <v>26</v>
      </c>
      <c r="R19" s="1" t="s">
        <v>1010</v>
      </c>
      <c r="S19">
        <v>29</v>
      </c>
      <c r="T19">
        <v>6</v>
      </c>
    </row>
    <row r="20" spans="1:20" ht="12.75" customHeight="1">
      <c r="A20" s="8">
        <f>IF(G19="","",IF(G19&lt;IF($L$1=1,29,28),G19+1,""))</f>
        <v>26</v>
      </c>
      <c r="B20" s="5">
        <f t="shared" si="8"/>
        <v>27</v>
      </c>
      <c r="C20" s="5">
        <f t="shared" si="8"/>
        <v>28</v>
      </c>
      <c r="D20" s="5">
        <f t="shared" si="8"/>
      </c>
      <c r="E20" s="5">
        <f t="shared" si="8"/>
      </c>
      <c r="F20" s="5">
        <f t="shared" si="8"/>
      </c>
      <c r="G20" s="5">
        <f t="shared" si="8"/>
      </c>
      <c r="H20" s="5"/>
      <c r="I20" s="10">
        <f>IF(O19="","",IF(O19&lt;31,O19+1,""))</f>
        <v>27</v>
      </c>
      <c r="J20" s="5">
        <f t="shared" si="9"/>
        <v>28</v>
      </c>
      <c r="K20" s="5">
        <f t="shared" si="9"/>
        <v>29</v>
      </c>
      <c r="L20" s="5">
        <f t="shared" si="9"/>
        <v>30</v>
      </c>
      <c r="M20" s="5">
        <f t="shared" si="9"/>
        <v>31</v>
      </c>
      <c r="N20" s="5">
        <f t="shared" si="9"/>
      </c>
      <c r="O20" s="5">
        <f t="shared" si="9"/>
      </c>
      <c r="R20" s="1" t="s">
        <v>1009</v>
      </c>
      <c r="S20">
        <v>15</v>
      </c>
      <c r="T20">
        <v>8</v>
      </c>
    </row>
    <row r="21" spans="1:20" ht="12.75" customHeight="1">
      <c r="A21" s="8">
        <f>IF(G20="","",IF(G20&lt;31,G20+1,""))</f>
      </c>
      <c r="B21" s="5">
        <f aca="true" t="shared" si="10" ref="B21:G21">IF(A21="","",IF(A21&lt;31,A21+1,""))</f>
      </c>
      <c r="C21" s="5">
        <f t="shared" si="10"/>
      </c>
      <c r="D21" s="5">
        <f t="shared" si="10"/>
      </c>
      <c r="E21" s="5">
        <f t="shared" si="10"/>
      </c>
      <c r="F21" s="5">
        <f t="shared" si="10"/>
      </c>
      <c r="G21" s="5">
        <f t="shared" si="10"/>
      </c>
      <c r="H21" s="5"/>
      <c r="I21" s="10">
        <f>IF(O20="","",IF(O20&lt;31,O20+1,""))</f>
      </c>
      <c r="J21" s="5">
        <f t="shared" si="9"/>
      </c>
      <c r="K21" s="5">
        <f t="shared" si="9"/>
      </c>
      <c r="L21" s="5">
        <f t="shared" si="9"/>
      </c>
      <c r="M21" s="5">
        <f t="shared" si="9"/>
      </c>
      <c r="N21" s="5">
        <f t="shared" si="9"/>
      </c>
      <c r="O21" s="5">
        <f t="shared" si="9"/>
      </c>
      <c r="R21" s="1" t="s">
        <v>1014</v>
      </c>
      <c r="S21">
        <v>30</v>
      </c>
      <c r="T21">
        <v>8</v>
      </c>
    </row>
    <row r="22" spans="1:20" ht="12.75" customHeight="1">
      <c r="A22" s="8"/>
      <c r="B22" s="5"/>
      <c r="C22" s="5"/>
      <c r="D22" s="5"/>
      <c r="E22" s="5"/>
      <c r="F22" s="5"/>
      <c r="G22" s="5"/>
      <c r="H22" s="5"/>
      <c r="I22" s="10"/>
      <c r="J22" s="5"/>
      <c r="K22" s="5"/>
      <c r="L22" s="5"/>
      <c r="M22" s="5"/>
      <c r="N22" s="5"/>
      <c r="O22" s="5"/>
      <c r="R22" s="1" t="s">
        <v>1011</v>
      </c>
      <c r="S22">
        <v>1</v>
      </c>
      <c r="T22">
        <v>11</v>
      </c>
    </row>
    <row r="23" spans="1:20" ht="12.75" customHeight="1">
      <c r="A23" s="8"/>
      <c r="B23" s="5"/>
      <c r="C23" s="5"/>
      <c r="D23" s="6" t="str">
        <f>VLOOKUP(3,$R$38:$Y$49,$I$1)&amp;" "&amp;$E$1</f>
        <v>Marzo 2023</v>
      </c>
      <c r="E23" s="5"/>
      <c r="F23" s="5"/>
      <c r="G23" s="5"/>
      <c r="H23" s="5"/>
      <c r="I23" s="10"/>
      <c r="J23" s="5"/>
      <c r="K23" s="5"/>
      <c r="L23" s="6" t="str">
        <f>VLOOKUP(9,$R$38:$Y$49,$I$1)&amp;" "&amp;$E$1</f>
        <v>Septiembre 2023</v>
      </c>
      <c r="M23" s="5"/>
      <c r="N23" s="5"/>
      <c r="O23" s="5"/>
      <c r="R23" s="1" t="s">
        <v>1012</v>
      </c>
      <c r="S23">
        <v>2</v>
      </c>
      <c r="T23">
        <v>11</v>
      </c>
    </row>
    <row r="24" spans="1:20" ht="16.5" customHeight="1">
      <c r="A24" s="11" t="str">
        <f>$A$6</f>
        <v>Domingo</v>
      </c>
      <c r="B24" s="12" t="str">
        <f>$B$6</f>
        <v>Lunes</v>
      </c>
      <c r="C24" s="12" t="str">
        <f>$C$6</f>
        <v>Martes</v>
      </c>
      <c r="D24" s="12" t="str">
        <f>$D$6</f>
        <v>Miércoles</v>
      </c>
      <c r="E24" s="12" t="str">
        <f>$E$6</f>
        <v>Jueves</v>
      </c>
      <c r="F24" s="12" t="str">
        <f>$F$6</f>
        <v>Viernes</v>
      </c>
      <c r="G24" s="12" t="str">
        <f>$G$6</f>
        <v>Sábado</v>
      </c>
      <c r="H24" s="12"/>
      <c r="I24" s="11" t="str">
        <f>$A$6</f>
        <v>Domingo</v>
      </c>
      <c r="J24" s="12" t="str">
        <f>$B$6</f>
        <v>Lunes</v>
      </c>
      <c r="K24" s="12" t="str">
        <f>$C$6</f>
        <v>Martes</v>
      </c>
      <c r="L24" s="12" t="str">
        <f>$D$6</f>
        <v>Miércoles</v>
      </c>
      <c r="M24" s="12" t="str">
        <f>$E$6</f>
        <v>Jueves</v>
      </c>
      <c r="N24" s="12" t="str">
        <f>$F$6</f>
        <v>Viernes</v>
      </c>
      <c r="O24" s="12" t="str">
        <f>$G$6</f>
        <v>Sábado</v>
      </c>
      <c r="P24" s="7"/>
      <c r="Q24" s="7"/>
      <c r="R24" s="1" t="s">
        <v>1088</v>
      </c>
      <c r="S24">
        <v>8</v>
      </c>
      <c r="T24">
        <v>12</v>
      </c>
    </row>
    <row r="25" spans="1:21" ht="12.75" customHeight="1">
      <c r="A25" s="8">
        <f>IF($O$1+59+$L$1+INT(-($O$1+59+$L$1)/7+1)*7=A$2,1,"")</f>
      </c>
      <c r="B25" s="5">
        <f aca="true" t="shared" si="11" ref="B25:G25">IF($O$1+59+$L$1+INT(-($O$1+59+$L$1)/7+1)*7=B$2,1,IF(A25&lt;&gt;"",A25+1,""))</f>
      </c>
      <c r="C25" s="5">
        <f t="shared" si="11"/>
      </c>
      <c r="D25" s="5">
        <f t="shared" si="11"/>
        <v>1</v>
      </c>
      <c r="E25" s="5">
        <f t="shared" si="11"/>
        <v>2</v>
      </c>
      <c r="F25" s="5">
        <f t="shared" si="11"/>
        <v>3</v>
      </c>
      <c r="G25" s="5">
        <f t="shared" si="11"/>
        <v>4</v>
      </c>
      <c r="H25" s="5"/>
      <c r="I25" s="10">
        <f>IF($O$1+243+$L$1+INT(-($O$1+243+$L$1)/7+1)*7=I$2,1,"")</f>
      </c>
      <c r="J25" s="5">
        <f aca="true" t="shared" si="12" ref="J25:O25">IF($O$1+243+$L$1+INT(-($O$1+243+$L$1)/7+1)*7=J$2,1,IF(I25&lt;&gt;"",I25+1,""))</f>
      </c>
      <c r="K25" s="5">
        <f t="shared" si="12"/>
      </c>
      <c r="L25" s="5">
        <f t="shared" si="12"/>
      </c>
      <c r="M25" s="5">
        <f t="shared" si="12"/>
      </c>
      <c r="N25" s="5">
        <f t="shared" si="12"/>
        <v>1</v>
      </c>
      <c r="O25" s="5">
        <f t="shared" si="12"/>
        <v>2</v>
      </c>
      <c r="R25" s="1" t="s">
        <v>1013</v>
      </c>
      <c r="S25">
        <v>25</v>
      </c>
      <c r="T25">
        <v>12</v>
      </c>
      <c r="U25" s="3">
        <f>365*$E$1+359+INT(($E$1-1)/4)-INT(INT(($E$1-1)/100+1)*0.75)+$L$1</f>
        <v>739244</v>
      </c>
    </row>
    <row r="26" spans="1:15" ht="12.75" customHeight="1">
      <c r="A26" s="8">
        <f>IF(G25="","",IF(G25&lt;31,G25+1,""))</f>
        <v>5</v>
      </c>
      <c r="B26" s="5">
        <f aca="true" t="shared" si="13" ref="B26:G30">IF(A26="","",IF(A26&lt;31,A26+1,""))</f>
        <v>6</v>
      </c>
      <c r="C26" s="5">
        <f t="shared" si="13"/>
        <v>7</v>
      </c>
      <c r="D26" s="5">
        <f t="shared" si="13"/>
        <v>8</v>
      </c>
      <c r="E26" s="5">
        <f t="shared" si="13"/>
        <v>9</v>
      </c>
      <c r="F26" s="5">
        <f t="shared" si="13"/>
        <v>10</v>
      </c>
      <c r="G26" s="5">
        <f t="shared" si="13"/>
        <v>11</v>
      </c>
      <c r="H26" s="5"/>
      <c r="I26" s="10">
        <f>IF(O25="","",IF(O25&lt;30,O25+1,""))</f>
        <v>3</v>
      </c>
      <c r="J26" s="5">
        <f aca="true" t="shared" si="14" ref="J26:O30">IF(I26="","",IF(I26&lt;30,I26+1,""))</f>
        <v>4</v>
      </c>
      <c r="K26" s="5">
        <f t="shared" si="14"/>
        <v>5</v>
      </c>
      <c r="L26" s="5">
        <f t="shared" si="14"/>
        <v>6</v>
      </c>
      <c r="M26" s="5">
        <f t="shared" si="14"/>
        <v>7</v>
      </c>
      <c r="N26" s="5">
        <f t="shared" si="14"/>
        <v>8</v>
      </c>
      <c r="O26" s="5">
        <f t="shared" si="14"/>
        <v>9</v>
      </c>
    </row>
    <row r="27" spans="1:25" ht="12.75" customHeight="1">
      <c r="A27" s="8">
        <f>IF(G26="","",IF(G26&lt;31,G26+1,""))</f>
        <v>12</v>
      </c>
      <c r="B27" s="5">
        <f t="shared" si="13"/>
        <v>13</v>
      </c>
      <c r="C27" s="5">
        <f t="shared" si="13"/>
        <v>14</v>
      </c>
      <c r="D27" s="5">
        <f t="shared" si="13"/>
        <v>15</v>
      </c>
      <c r="E27" s="5">
        <f t="shared" si="13"/>
        <v>16</v>
      </c>
      <c r="F27" s="43">
        <f t="shared" si="13"/>
        <v>17</v>
      </c>
      <c r="G27" s="5">
        <f t="shared" si="13"/>
        <v>18</v>
      </c>
      <c r="H27" s="5"/>
      <c r="I27" s="10">
        <f>IF(O26="","",IF(O26&lt;30,O26+1,""))</f>
        <v>10</v>
      </c>
      <c r="J27" s="5">
        <f t="shared" si="14"/>
        <v>11</v>
      </c>
      <c r="K27" s="5">
        <f t="shared" si="14"/>
        <v>12</v>
      </c>
      <c r="L27" s="5">
        <f t="shared" si="14"/>
        <v>13</v>
      </c>
      <c r="M27" s="5">
        <f t="shared" si="14"/>
        <v>14</v>
      </c>
      <c r="N27" s="5">
        <f t="shared" si="14"/>
        <v>15</v>
      </c>
      <c r="O27" s="5">
        <f t="shared" si="14"/>
        <v>16</v>
      </c>
      <c r="R27">
        <v>1</v>
      </c>
      <c r="S27">
        <v>2</v>
      </c>
      <c r="T27">
        <v>3</v>
      </c>
      <c r="U27">
        <v>4</v>
      </c>
      <c r="V27">
        <v>12</v>
      </c>
      <c r="W27">
        <v>13</v>
      </c>
      <c r="X27">
        <v>14</v>
      </c>
      <c r="Y27">
        <v>20</v>
      </c>
    </row>
    <row r="28" spans="1:25" ht="12.75" customHeight="1">
      <c r="A28" s="8">
        <f>IF(G27="","",IF(G27&lt;31,G27+1,""))</f>
        <v>19</v>
      </c>
      <c r="B28" s="5">
        <f t="shared" si="13"/>
        <v>20</v>
      </c>
      <c r="C28" s="5">
        <f t="shared" si="13"/>
        <v>21</v>
      </c>
      <c r="D28" s="5">
        <f t="shared" si="13"/>
        <v>22</v>
      </c>
      <c r="E28" s="5">
        <f t="shared" si="13"/>
        <v>23</v>
      </c>
      <c r="F28" s="5">
        <f t="shared" si="13"/>
        <v>24</v>
      </c>
      <c r="G28" s="5">
        <f t="shared" si="13"/>
        <v>25</v>
      </c>
      <c r="H28" s="5"/>
      <c r="I28" s="10">
        <f>IF(O27="","",IF(O27&lt;30,O27+1,""))</f>
        <v>17</v>
      </c>
      <c r="J28" s="5">
        <f t="shared" si="14"/>
        <v>18</v>
      </c>
      <c r="K28" s="5">
        <f t="shared" si="14"/>
        <v>19</v>
      </c>
      <c r="L28" s="5">
        <f t="shared" si="14"/>
        <v>20</v>
      </c>
      <c r="M28" s="5">
        <f t="shared" si="14"/>
        <v>21</v>
      </c>
      <c r="N28" s="5">
        <f t="shared" si="14"/>
        <v>22</v>
      </c>
      <c r="O28" s="5">
        <f t="shared" si="14"/>
        <v>23</v>
      </c>
      <c r="R28" s="1" t="s">
        <v>234</v>
      </c>
      <c r="S28" s="15" t="s">
        <v>235</v>
      </c>
      <c r="T28" s="1" t="s">
        <v>243</v>
      </c>
      <c r="U28" s="15" t="s">
        <v>242</v>
      </c>
      <c r="V28" s="15" t="s">
        <v>306</v>
      </c>
      <c r="W28" s="15" t="s">
        <v>293</v>
      </c>
      <c r="X28" s="15" t="s">
        <v>294</v>
      </c>
      <c r="Y28" s="15" t="s">
        <v>295</v>
      </c>
    </row>
    <row r="29" spans="1:25" ht="12.75" customHeight="1">
      <c r="A29" s="8">
        <f>IF(G28="","",IF(G28&lt;31,G28+1,""))</f>
        <v>26</v>
      </c>
      <c r="B29" s="5">
        <f t="shared" si="13"/>
        <v>27</v>
      </c>
      <c r="C29" s="5">
        <f t="shared" si="13"/>
        <v>28</v>
      </c>
      <c r="D29" s="5">
        <f t="shared" si="13"/>
        <v>29</v>
      </c>
      <c r="E29" s="5">
        <f t="shared" si="13"/>
        <v>30</v>
      </c>
      <c r="F29" s="5">
        <f t="shared" si="13"/>
        <v>31</v>
      </c>
      <c r="G29" s="5">
        <f t="shared" si="13"/>
      </c>
      <c r="H29" s="5"/>
      <c r="I29" s="10">
        <f>IF(O28="","",IF(O28&lt;30,O28+1,""))</f>
        <v>24</v>
      </c>
      <c r="J29" s="5">
        <f t="shared" si="14"/>
        <v>25</v>
      </c>
      <c r="K29" s="5">
        <f t="shared" si="14"/>
        <v>26</v>
      </c>
      <c r="L29" s="5">
        <f t="shared" si="14"/>
        <v>27</v>
      </c>
      <c r="M29" s="5">
        <f t="shared" si="14"/>
        <v>28</v>
      </c>
      <c r="N29" s="5">
        <f t="shared" si="14"/>
        <v>29</v>
      </c>
      <c r="O29" s="5">
        <f t="shared" si="14"/>
        <v>30</v>
      </c>
      <c r="R29" s="1">
        <v>1</v>
      </c>
      <c r="S29" s="15" t="s">
        <v>170</v>
      </c>
      <c r="T29" s="1" t="s">
        <v>237</v>
      </c>
      <c r="U29" s="15" t="s">
        <v>244</v>
      </c>
      <c r="V29" s="15" t="s">
        <v>312</v>
      </c>
      <c r="W29" s="15" t="s">
        <v>329</v>
      </c>
      <c r="X29" s="15" t="s">
        <v>170</v>
      </c>
      <c r="Y29" s="15" t="s">
        <v>213</v>
      </c>
    </row>
    <row r="30" spans="1:25" ht="12.75" customHeight="1">
      <c r="A30" s="8">
        <f>IF(G29="","",IF(G29&lt;31,G29+1,""))</f>
      </c>
      <c r="B30" s="5">
        <f t="shared" si="13"/>
      </c>
      <c r="C30" s="5">
        <f t="shared" si="13"/>
      </c>
      <c r="D30" s="5">
        <f t="shared" si="13"/>
      </c>
      <c r="E30" s="5">
        <f t="shared" si="13"/>
      </c>
      <c r="F30" s="5">
        <f t="shared" si="13"/>
      </c>
      <c r="G30" s="5">
        <f t="shared" si="13"/>
      </c>
      <c r="H30" s="5"/>
      <c r="I30" s="10">
        <f>IF(O29="","",IF(O29&lt;30,O29+1,""))</f>
      </c>
      <c r="J30" s="5">
        <f t="shared" si="14"/>
      </c>
      <c r="K30" s="5">
        <f t="shared" si="14"/>
      </c>
      <c r="L30" s="5">
        <f t="shared" si="14"/>
      </c>
      <c r="M30" s="5">
        <f t="shared" si="14"/>
      </c>
      <c r="N30" s="5">
        <f t="shared" si="14"/>
      </c>
      <c r="O30" s="5">
        <f t="shared" si="14"/>
      </c>
      <c r="R30" s="1">
        <v>2</v>
      </c>
      <c r="S30" s="15" t="s">
        <v>171</v>
      </c>
      <c r="T30" s="1" t="s">
        <v>238</v>
      </c>
      <c r="U30" s="15" t="s">
        <v>245</v>
      </c>
      <c r="V30" s="15" t="s">
        <v>313</v>
      </c>
      <c r="W30" s="15" t="s">
        <v>330</v>
      </c>
      <c r="X30" s="15" t="s">
        <v>345</v>
      </c>
      <c r="Y30" s="15" t="s">
        <v>214</v>
      </c>
    </row>
    <row r="31" spans="1:25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R31" s="1">
        <v>3</v>
      </c>
      <c r="S31" s="15" t="s">
        <v>172</v>
      </c>
      <c r="T31" s="1" t="s">
        <v>239</v>
      </c>
      <c r="U31" s="15" t="s">
        <v>246</v>
      </c>
      <c r="V31" s="15" t="s">
        <v>314</v>
      </c>
      <c r="W31" s="15" t="s">
        <v>331</v>
      </c>
      <c r="X31" s="15" t="s">
        <v>346</v>
      </c>
      <c r="Y31" s="15" t="s">
        <v>215</v>
      </c>
    </row>
    <row r="32" spans="1:25" ht="12.75" customHeight="1">
      <c r="A32" s="5"/>
      <c r="B32" s="5"/>
      <c r="C32" s="5"/>
      <c r="D32" s="6" t="str">
        <f>VLOOKUP(4,$R$38:$Y$49,$I$1)&amp;" "&amp;$E$1</f>
        <v>Abril 2023</v>
      </c>
      <c r="E32" s="5"/>
      <c r="F32" s="5"/>
      <c r="G32" s="5"/>
      <c r="H32" s="5"/>
      <c r="I32" s="5"/>
      <c r="J32" s="5"/>
      <c r="K32" s="5"/>
      <c r="L32" s="6" t="str">
        <f>VLOOKUP(10,$R$38:$Y$49,$I$1)&amp;" "&amp;$E$1</f>
        <v>Octubre 2023</v>
      </c>
      <c r="M32" s="5"/>
      <c r="N32" s="5"/>
      <c r="O32" s="5"/>
      <c r="R32" s="1">
        <v>4</v>
      </c>
      <c r="S32" s="15" t="s">
        <v>173</v>
      </c>
      <c r="T32" s="1" t="s">
        <v>272</v>
      </c>
      <c r="U32" s="15" t="s">
        <v>247</v>
      </c>
      <c r="V32" s="15" t="s">
        <v>315</v>
      </c>
      <c r="W32" s="15" t="s">
        <v>332</v>
      </c>
      <c r="X32" s="15" t="s">
        <v>347</v>
      </c>
      <c r="Y32" s="15" t="s">
        <v>219</v>
      </c>
    </row>
    <row r="33" spans="1:25" ht="16.5">
      <c r="A33" s="11" t="str">
        <f>$A$6</f>
        <v>Domingo</v>
      </c>
      <c r="B33" s="12" t="str">
        <f>$B$6</f>
        <v>Lunes</v>
      </c>
      <c r="C33" s="12" t="str">
        <f>$C$6</f>
        <v>Martes</v>
      </c>
      <c r="D33" s="12" t="str">
        <f>$D$6</f>
        <v>Miércoles</v>
      </c>
      <c r="E33" s="12" t="str">
        <f>$E$6</f>
        <v>Jueves</v>
      </c>
      <c r="F33" s="12" t="str">
        <f>$F$6</f>
        <v>Viernes</v>
      </c>
      <c r="G33" s="12" t="str">
        <f>$G$6</f>
        <v>Sábado</v>
      </c>
      <c r="H33" s="12"/>
      <c r="I33" s="11" t="str">
        <f>$A$6</f>
        <v>Domingo</v>
      </c>
      <c r="J33" s="12" t="str">
        <f>$B$6</f>
        <v>Lunes</v>
      </c>
      <c r="K33" s="12" t="str">
        <f>$C$6</f>
        <v>Martes</v>
      </c>
      <c r="L33" s="12" t="str">
        <f>$D$6</f>
        <v>Miércoles</v>
      </c>
      <c r="M33" s="12" t="str">
        <f>$E$6</f>
        <v>Jueves</v>
      </c>
      <c r="N33" s="12" t="str">
        <f>$F$6</f>
        <v>Viernes</v>
      </c>
      <c r="O33" s="12" t="str">
        <f>$G$6</f>
        <v>Sábado</v>
      </c>
      <c r="P33" s="7"/>
      <c r="R33" s="1">
        <v>5</v>
      </c>
      <c r="S33" s="15" t="s">
        <v>174</v>
      </c>
      <c r="T33" s="1" t="s">
        <v>273</v>
      </c>
      <c r="U33" s="15" t="s">
        <v>248</v>
      </c>
      <c r="V33" s="15" t="s">
        <v>316</v>
      </c>
      <c r="W33" s="15" t="s">
        <v>333</v>
      </c>
      <c r="X33" s="15" t="s">
        <v>348</v>
      </c>
      <c r="Y33" s="15" t="s">
        <v>216</v>
      </c>
    </row>
    <row r="34" spans="1:25" ht="12.75" customHeight="1">
      <c r="A34" s="8">
        <f>IF($O$1+90+$L$1+INT(-($O$1+90+$L$1)/7+1)*7=A$2,1,"")</f>
      </c>
      <c r="B34" s="9">
        <f aca="true" t="shared" si="15" ref="B34:G34">IF($O$1+90+$L$1+INT(-($O$1+90+$L$1)/7+1)*7=B$2,1,IF(A34&lt;&gt;"",A34+1,""))</f>
      </c>
      <c r="C34" s="9">
        <f t="shared" si="15"/>
      </c>
      <c r="D34" s="9">
        <f t="shared" si="15"/>
      </c>
      <c r="E34" s="9">
        <f t="shared" si="15"/>
      </c>
      <c r="F34" s="9">
        <f t="shared" si="15"/>
      </c>
      <c r="G34" s="9">
        <f t="shared" si="15"/>
        <v>1</v>
      </c>
      <c r="H34" s="9"/>
      <c r="I34" s="13">
        <f>IF($O$1+273+$L$1+INT(-($O$1+273+$L$1)/7+1)*7=I$2,1,"")</f>
        <v>1</v>
      </c>
      <c r="J34" s="9">
        <f aca="true" t="shared" si="16" ref="J34:O34">IF($O$1+273+$L$1+INT(-($O$1+273+$L$1)/7+1)*7=J$2,1,IF(I34&lt;&gt;"",I34+1,""))</f>
        <v>2</v>
      </c>
      <c r="K34" s="9">
        <f t="shared" si="16"/>
        <v>3</v>
      </c>
      <c r="L34" s="9">
        <f t="shared" si="16"/>
        <v>4</v>
      </c>
      <c r="M34" s="9">
        <f t="shared" si="16"/>
        <v>5</v>
      </c>
      <c r="N34" s="9">
        <f t="shared" si="16"/>
        <v>6</v>
      </c>
      <c r="O34" s="9">
        <f t="shared" si="16"/>
        <v>7</v>
      </c>
      <c r="P34" s="3"/>
      <c r="R34" s="1">
        <v>6</v>
      </c>
      <c r="S34" s="15" t="s">
        <v>175</v>
      </c>
      <c r="T34" s="1" t="s">
        <v>240</v>
      </c>
      <c r="U34" s="15" t="s">
        <v>249</v>
      </c>
      <c r="V34" s="15" t="s">
        <v>317</v>
      </c>
      <c r="W34" s="15" t="s">
        <v>334</v>
      </c>
      <c r="X34" s="15" t="s">
        <v>349</v>
      </c>
      <c r="Y34" s="15" t="s">
        <v>217</v>
      </c>
    </row>
    <row r="35" spans="1:25" ht="12.75" customHeight="1">
      <c r="A35" s="8">
        <f>IF(G34="","",IF(G34&lt;30,G34+1,""))</f>
        <v>2</v>
      </c>
      <c r="B35" s="5">
        <f aca="true" t="shared" si="17" ref="B35:G39">IF(A35="","",IF(A35&lt;30,A35+1,""))</f>
        <v>3</v>
      </c>
      <c r="C35" s="5">
        <f t="shared" si="17"/>
        <v>4</v>
      </c>
      <c r="D35" s="5">
        <f t="shared" si="17"/>
        <v>5</v>
      </c>
      <c r="E35" s="5">
        <f t="shared" si="17"/>
        <v>6</v>
      </c>
      <c r="F35" s="5">
        <f t="shared" si="17"/>
        <v>7</v>
      </c>
      <c r="G35" s="5">
        <f t="shared" si="17"/>
        <v>8</v>
      </c>
      <c r="H35" s="5"/>
      <c r="I35" s="10">
        <f>IF(O34="","",IF(O34&lt;31,O34+1,""))</f>
        <v>8</v>
      </c>
      <c r="J35" s="5">
        <f aca="true" t="shared" si="18" ref="J35:O39">IF(I35="","",IF(I35&lt;31,I35+1,""))</f>
        <v>9</v>
      </c>
      <c r="K35" s="5">
        <f t="shared" si="18"/>
        <v>10</v>
      </c>
      <c r="L35" s="5">
        <f t="shared" si="18"/>
        <v>11</v>
      </c>
      <c r="M35" s="43">
        <f t="shared" si="18"/>
        <v>12</v>
      </c>
      <c r="N35" s="5">
        <f t="shared" si="18"/>
        <v>13</v>
      </c>
      <c r="O35" s="5">
        <f t="shared" si="18"/>
        <v>14</v>
      </c>
      <c r="R35" s="1">
        <v>7</v>
      </c>
      <c r="S35" s="15" t="s">
        <v>176</v>
      </c>
      <c r="T35" s="1" t="s">
        <v>241</v>
      </c>
      <c r="U35" s="15" t="s">
        <v>250</v>
      </c>
      <c r="V35" s="15" t="s">
        <v>318</v>
      </c>
      <c r="W35" s="15" t="s">
        <v>335</v>
      </c>
      <c r="X35" s="15" t="s">
        <v>176</v>
      </c>
      <c r="Y35" s="15" t="s">
        <v>218</v>
      </c>
    </row>
    <row r="36" spans="1:25" ht="12.75" customHeight="1">
      <c r="A36" s="8">
        <f>IF(G35="","",IF(G35&lt;30,G35+1,""))</f>
        <v>9</v>
      </c>
      <c r="B36" s="5">
        <f t="shared" si="17"/>
        <v>10</v>
      </c>
      <c r="C36" s="5">
        <f t="shared" si="17"/>
        <v>11</v>
      </c>
      <c r="D36" s="5">
        <f t="shared" si="17"/>
        <v>12</v>
      </c>
      <c r="E36" s="5">
        <f t="shared" si="17"/>
        <v>13</v>
      </c>
      <c r="F36" s="5">
        <f t="shared" si="17"/>
        <v>14</v>
      </c>
      <c r="G36" s="5">
        <f t="shared" si="17"/>
        <v>15</v>
      </c>
      <c r="H36" s="5"/>
      <c r="I36" s="10">
        <f>IF(O35="","",IF(O35&lt;31,O35+1,""))</f>
        <v>15</v>
      </c>
      <c r="J36" s="5">
        <f t="shared" si="18"/>
        <v>16</v>
      </c>
      <c r="K36" s="5">
        <f t="shared" si="18"/>
        <v>17</v>
      </c>
      <c r="L36" s="5">
        <f t="shared" si="18"/>
        <v>18</v>
      </c>
      <c r="M36" s="5">
        <f t="shared" si="18"/>
        <v>19</v>
      </c>
      <c r="N36" s="5">
        <f t="shared" si="18"/>
        <v>20</v>
      </c>
      <c r="O36" s="5">
        <f t="shared" si="18"/>
        <v>21</v>
      </c>
      <c r="Q36" s="7"/>
      <c r="R36">
        <v>1</v>
      </c>
      <c r="S36">
        <v>2</v>
      </c>
      <c r="T36">
        <v>3</v>
      </c>
      <c r="U36">
        <v>4</v>
      </c>
      <c r="V36">
        <v>12</v>
      </c>
      <c r="W36">
        <v>13</v>
      </c>
      <c r="X36">
        <v>14</v>
      </c>
      <c r="Y36">
        <v>20</v>
      </c>
    </row>
    <row r="37" spans="1:25" ht="12.75" customHeight="1">
      <c r="A37" s="8">
        <f>IF(G36="","",IF(G36&lt;30,G36+1,""))</f>
        <v>16</v>
      </c>
      <c r="B37" s="5">
        <f t="shared" si="17"/>
        <v>17</v>
      </c>
      <c r="C37" s="5">
        <f t="shared" si="17"/>
        <v>18</v>
      </c>
      <c r="D37" s="5">
        <f t="shared" si="17"/>
        <v>19</v>
      </c>
      <c r="E37" s="5">
        <f t="shared" si="17"/>
        <v>20</v>
      </c>
      <c r="F37" s="5">
        <f t="shared" si="17"/>
        <v>21</v>
      </c>
      <c r="G37" s="5">
        <f t="shared" si="17"/>
        <v>22</v>
      </c>
      <c r="H37" s="5"/>
      <c r="I37" s="10">
        <f>IF(O36="","",IF(O36&lt;31,O36+1,""))</f>
        <v>22</v>
      </c>
      <c r="J37" s="5">
        <f t="shared" si="18"/>
        <v>23</v>
      </c>
      <c r="K37" s="5">
        <f t="shared" si="18"/>
        <v>24</v>
      </c>
      <c r="L37" s="5">
        <f t="shared" si="18"/>
        <v>25</v>
      </c>
      <c r="M37" s="5">
        <f t="shared" si="18"/>
        <v>26</v>
      </c>
      <c r="N37" s="5">
        <f t="shared" si="18"/>
        <v>27</v>
      </c>
      <c r="O37" s="5">
        <f t="shared" si="18"/>
        <v>28</v>
      </c>
      <c r="Q37" s="3"/>
      <c r="R37" t="s">
        <v>251</v>
      </c>
      <c r="S37" t="s">
        <v>235</v>
      </c>
      <c r="T37" t="s">
        <v>388</v>
      </c>
      <c r="U37" t="s">
        <v>389</v>
      </c>
      <c r="V37" t="s">
        <v>393</v>
      </c>
      <c r="W37" t="s">
        <v>293</v>
      </c>
      <c r="X37" t="s">
        <v>294</v>
      </c>
      <c r="Y37" t="s">
        <v>394</v>
      </c>
    </row>
    <row r="38" spans="1:25" ht="12.75" customHeight="1">
      <c r="A38" s="8">
        <f>IF(G37="","",IF(G37&lt;30,G37+1,""))</f>
        <v>23</v>
      </c>
      <c r="B38" s="5">
        <f t="shared" si="17"/>
        <v>24</v>
      </c>
      <c r="C38" s="5">
        <f t="shared" si="17"/>
        <v>25</v>
      </c>
      <c r="D38" s="5">
        <f t="shared" si="17"/>
        <v>26</v>
      </c>
      <c r="E38" s="5">
        <f t="shared" si="17"/>
        <v>27</v>
      </c>
      <c r="F38" s="5">
        <f t="shared" si="17"/>
        <v>28</v>
      </c>
      <c r="G38" s="5">
        <f t="shared" si="17"/>
        <v>29</v>
      </c>
      <c r="H38" s="5"/>
      <c r="I38" s="10">
        <f>IF(O37="","",IF(O37&lt;31,O37+1,""))</f>
        <v>29</v>
      </c>
      <c r="J38" s="5">
        <f t="shared" si="18"/>
        <v>30</v>
      </c>
      <c r="K38" s="5">
        <f t="shared" si="18"/>
        <v>31</v>
      </c>
      <c r="L38" s="5">
        <f t="shared" si="18"/>
      </c>
      <c r="M38" s="5">
        <f t="shared" si="18"/>
      </c>
      <c r="N38" s="5">
        <f t="shared" si="18"/>
      </c>
      <c r="O38" s="5">
        <f t="shared" si="18"/>
      </c>
      <c r="R38">
        <v>1</v>
      </c>
      <c r="S38" t="s">
        <v>189</v>
      </c>
      <c r="T38" t="s">
        <v>252</v>
      </c>
      <c r="U38" t="s">
        <v>264</v>
      </c>
      <c r="V38" t="s">
        <v>319</v>
      </c>
      <c r="W38" t="s">
        <v>336</v>
      </c>
      <c r="X38" t="s">
        <v>350</v>
      </c>
      <c r="Y38" t="s">
        <v>360</v>
      </c>
    </row>
    <row r="39" spans="1:25" ht="12.75" customHeight="1">
      <c r="A39" s="8">
        <f>IF(G38="","",IF(G38&lt;30,G38+1,""))</f>
        <v>30</v>
      </c>
      <c r="B39" s="5">
        <f t="shared" si="17"/>
      </c>
      <c r="C39" s="5">
        <f t="shared" si="17"/>
      </c>
      <c r="D39" s="5">
        <f t="shared" si="17"/>
      </c>
      <c r="E39" s="5">
        <f t="shared" si="17"/>
      </c>
      <c r="F39" s="5">
        <f t="shared" si="17"/>
      </c>
      <c r="G39" s="5">
        <f t="shared" si="17"/>
      </c>
      <c r="H39" s="5"/>
      <c r="I39" s="10">
        <f>IF(O38="","",IF(O38&lt;31,O38+1,""))</f>
      </c>
      <c r="J39" s="5">
        <f t="shared" si="18"/>
      </c>
      <c r="K39" s="5">
        <f t="shared" si="18"/>
      </c>
      <c r="L39" s="5">
        <f t="shared" si="18"/>
      </c>
      <c r="M39" s="5">
        <f t="shared" si="18"/>
      </c>
      <c r="N39" s="5">
        <f t="shared" si="18"/>
      </c>
      <c r="O39" s="5">
        <f t="shared" si="18"/>
      </c>
      <c r="R39">
        <v>2</v>
      </c>
      <c r="S39" t="s">
        <v>199</v>
      </c>
      <c r="T39" t="s">
        <v>253</v>
      </c>
      <c r="U39" t="s">
        <v>265</v>
      </c>
      <c r="V39" t="s">
        <v>320</v>
      </c>
      <c r="W39" t="s">
        <v>337</v>
      </c>
      <c r="X39" t="s">
        <v>351</v>
      </c>
      <c r="Y39" t="s">
        <v>361</v>
      </c>
    </row>
    <row r="40" spans="1:25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>
        <v>3</v>
      </c>
      <c r="S40" t="s">
        <v>200</v>
      </c>
      <c r="T40" t="s">
        <v>254</v>
      </c>
      <c r="U40" t="s">
        <v>266</v>
      </c>
      <c r="V40" t="s">
        <v>303</v>
      </c>
      <c r="W40" t="s">
        <v>200</v>
      </c>
      <c r="X40" t="s">
        <v>352</v>
      </c>
      <c r="Y40" t="s">
        <v>362</v>
      </c>
    </row>
    <row r="41" spans="1:25" ht="12.75" customHeight="1">
      <c r="A41" s="5"/>
      <c r="B41" s="5"/>
      <c r="C41" s="5"/>
      <c r="D41" s="6" t="str">
        <f>VLOOKUP(5,$R$38:$Y$49,$I$1)&amp;" "&amp;$E$1</f>
        <v>Mayo 2023</v>
      </c>
      <c r="E41" s="5"/>
      <c r="F41" s="5"/>
      <c r="G41" s="5"/>
      <c r="H41" s="5"/>
      <c r="I41" s="5"/>
      <c r="J41" s="5"/>
      <c r="K41" s="5"/>
      <c r="L41" s="6" t="str">
        <f>VLOOKUP(11,$R$38:$Y$49,$I$1)&amp;" "&amp;$E$1</f>
        <v>Noviembre 2023</v>
      </c>
      <c r="M41" s="5"/>
      <c r="N41" s="5"/>
      <c r="O41" s="5"/>
      <c r="R41">
        <v>4</v>
      </c>
      <c r="S41" t="s">
        <v>201</v>
      </c>
      <c r="T41" t="s">
        <v>255</v>
      </c>
      <c r="U41" t="s">
        <v>255</v>
      </c>
      <c r="V41" t="s">
        <v>321</v>
      </c>
      <c r="W41" t="s">
        <v>338</v>
      </c>
      <c r="X41" t="s">
        <v>201</v>
      </c>
      <c r="Y41" t="s">
        <v>363</v>
      </c>
    </row>
    <row r="42" spans="1:25" ht="16.5">
      <c r="A42" s="11" t="str">
        <f>$A$6</f>
        <v>Domingo</v>
      </c>
      <c r="B42" s="12" t="str">
        <f>$B$6</f>
        <v>Lunes</v>
      </c>
      <c r="C42" s="12" t="str">
        <f>$C$6</f>
        <v>Martes</v>
      </c>
      <c r="D42" s="12" t="str">
        <f>$D$6</f>
        <v>Miércoles</v>
      </c>
      <c r="E42" s="12" t="str">
        <f>$E$6</f>
        <v>Jueves</v>
      </c>
      <c r="F42" s="12" t="str">
        <f>$F$6</f>
        <v>Viernes</v>
      </c>
      <c r="G42" s="12" t="str">
        <f>$G$6</f>
        <v>Sábado</v>
      </c>
      <c r="H42" s="12"/>
      <c r="I42" s="11" t="str">
        <f>$A$6</f>
        <v>Domingo</v>
      </c>
      <c r="J42" s="12" t="str">
        <f>$B$6</f>
        <v>Lunes</v>
      </c>
      <c r="K42" s="12" t="str">
        <f>$C$6</f>
        <v>Martes</v>
      </c>
      <c r="L42" s="12" t="str">
        <f>$D$6</f>
        <v>Miércoles</v>
      </c>
      <c r="M42" s="12" t="str">
        <f>$E$6</f>
        <v>Jueves</v>
      </c>
      <c r="N42" s="12" t="str">
        <f>$F$6</f>
        <v>Viernes</v>
      </c>
      <c r="O42" s="12" t="str">
        <f>$G$6</f>
        <v>Sábado</v>
      </c>
      <c r="P42" s="7"/>
      <c r="R42">
        <v>5</v>
      </c>
      <c r="S42" t="s">
        <v>202</v>
      </c>
      <c r="T42" t="s">
        <v>256</v>
      </c>
      <c r="U42" t="s">
        <v>267</v>
      </c>
      <c r="V42" t="s">
        <v>267</v>
      </c>
      <c r="W42" t="s">
        <v>339</v>
      </c>
      <c r="X42" t="s">
        <v>353</v>
      </c>
      <c r="Y42" t="s">
        <v>364</v>
      </c>
    </row>
    <row r="43" spans="1:25" ht="12.75" customHeight="1">
      <c r="A43" s="13">
        <f>IF($O$1+120+$L$1+INT(-($O$1+120+$L$1)/7+1)*7=A$2,1,"")</f>
      </c>
      <c r="B43" s="9">
        <f aca="true" t="shared" si="19" ref="B43:G43">IF($O$1+120+$L$1+INT(-($O$1+120+$L$1)/7+1)*7=B$2,1,IF(A43&lt;&gt;"",A43+1,""))</f>
        <v>1</v>
      </c>
      <c r="C43" s="9">
        <f t="shared" si="19"/>
        <v>2</v>
      </c>
      <c r="D43" s="9">
        <f t="shared" si="19"/>
        <v>3</v>
      </c>
      <c r="E43" s="9">
        <f t="shared" si="19"/>
        <v>4</v>
      </c>
      <c r="F43" s="9">
        <f t="shared" si="19"/>
        <v>5</v>
      </c>
      <c r="G43" s="9">
        <f t="shared" si="19"/>
        <v>6</v>
      </c>
      <c r="H43" s="9"/>
      <c r="I43" s="13">
        <f>IF($O$1+304+$L$1+INT(-($O$1+304+$L$1)/7+1)*7=I$2,1,"")</f>
      </c>
      <c r="J43" s="9">
        <f aca="true" t="shared" si="20" ref="J43:O43">IF($O$1+304+$L$1+INT(-($O$1+304+$L$1)/7+1)*7=J$2,1,IF(I43&lt;&gt;"",I43+1,""))</f>
      </c>
      <c r="K43" s="9">
        <f t="shared" si="20"/>
      </c>
      <c r="L43" s="9">
        <f t="shared" si="20"/>
        <v>1</v>
      </c>
      <c r="M43" s="9">
        <f t="shared" si="20"/>
        <v>2</v>
      </c>
      <c r="N43" s="9">
        <f t="shared" si="20"/>
        <v>3</v>
      </c>
      <c r="O43" s="9">
        <f t="shared" si="20"/>
        <v>4</v>
      </c>
      <c r="P43" s="3"/>
      <c r="R43">
        <v>6</v>
      </c>
      <c r="S43" t="s">
        <v>203</v>
      </c>
      <c r="T43" t="s">
        <v>257</v>
      </c>
      <c r="U43" t="s">
        <v>268</v>
      </c>
      <c r="V43" t="s">
        <v>322</v>
      </c>
      <c r="W43" t="s">
        <v>340</v>
      </c>
      <c r="X43" t="s">
        <v>354</v>
      </c>
      <c r="Y43" t="s">
        <v>365</v>
      </c>
    </row>
    <row r="44" spans="1:25" ht="12.75" customHeight="1">
      <c r="A44" s="8">
        <f>IF(G43="","",IF(G43&lt;31,G43+1,""))</f>
        <v>7</v>
      </c>
      <c r="B44" s="5">
        <f aca="true" t="shared" si="21" ref="B44:G48">IF(A44="","",IF(A44&lt;31,A44+1,""))</f>
        <v>8</v>
      </c>
      <c r="C44" s="5">
        <f t="shared" si="21"/>
        <v>9</v>
      </c>
      <c r="D44" s="5">
        <f t="shared" si="21"/>
        <v>10</v>
      </c>
      <c r="E44" s="5">
        <f t="shared" si="21"/>
        <v>11</v>
      </c>
      <c r="F44" s="5">
        <f t="shared" si="21"/>
        <v>12</v>
      </c>
      <c r="G44" s="5">
        <f t="shared" si="21"/>
        <v>13</v>
      </c>
      <c r="H44" s="5"/>
      <c r="I44" s="10">
        <f>IF(O43="","",IF(O43&lt;30,O43+1,""))</f>
        <v>5</v>
      </c>
      <c r="J44" s="5">
        <f aca="true" t="shared" si="22" ref="J44:O48">IF(I44="","",IF(I44&lt;30,I44+1,""))</f>
        <v>6</v>
      </c>
      <c r="K44" s="5">
        <f t="shared" si="22"/>
        <v>7</v>
      </c>
      <c r="L44" s="5">
        <f t="shared" si="22"/>
        <v>8</v>
      </c>
      <c r="M44" s="5">
        <f t="shared" si="22"/>
        <v>9</v>
      </c>
      <c r="N44" s="5">
        <f t="shared" si="22"/>
        <v>10</v>
      </c>
      <c r="O44" s="5">
        <f t="shared" si="22"/>
        <v>11</v>
      </c>
      <c r="R44">
        <v>7</v>
      </c>
      <c r="S44" t="s">
        <v>204</v>
      </c>
      <c r="T44" t="s">
        <v>258</v>
      </c>
      <c r="U44" t="s">
        <v>269</v>
      </c>
      <c r="V44" t="s">
        <v>323</v>
      </c>
      <c r="W44" t="s">
        <v>341</v>
      </c>
      <c r="X44" t="s">
        <v>355</v>
      </c>
      <c r="Y44" t="s">
        <v>366</v>
      </c>
    </row>
    <row r="45" spans="1:25" ht="12.75" customHeight="1">
      <c r="A45" s="8">
        <f>IF(G44="","",IF(G44&lt;31,G44+1,""))</f>
        <v>14</v>
      </c>
      <c r="B45" s="5">
        <f t="shared" si="21"/>
        <v>15</v>
      </c>
      <c r="C45" s="5">
        <f t="shared" si="21"/>
        <v>16</v>
      </c>
      <c r="D45" s="5">
        <f t="shared" si="21"/>
        <v>17</v>
      </c>
      <c r="E45" s="5">
        <f t="shared" si="21"/>
        <v>18</v>
      </c>
      <c r="F45" s="5">
        <f t="shared" si="21"/>
        <v>19</v>
      </c>
      <c r="G45" s="5">
        <f t="shared" si="21"/>
        <v>20</v>
      </c>
      <c r="H45" s="5"/>
      <c r="I45" s="10">
        <f>IF(O44="","",IF(O44&lt;30,O44+1,""))</f>
        <v>12</v>
      </c>
      <c r="J45" s="5">
        <f t="shared" si="22"/>
        <v>13</v>
      </c>
      <c r="K45" s="5">
        <f t="shared" si="22"/>
        <v>14</v>
      </c>
      <c r="L45" s="5">
        <f t="shared" si="22"/>
        <v>15</v>
      </c>
      <c r="M45" s="5">
        <f t="shared" si="22"/>
        <v>16</v>
      </c>
      <c r="N45" s="5">
        <f t="shared" si="22"/>
        <v>17</v>
      </c>
      <c r="O45" s="5">
        <f t="shared" si="22"/>
        <v>18</v>
      </c>
      <c r="Q45" s="7"/>
      <c r="R45">
        <v>8</v>
      </c>
      <c r="S45" t="s">
        <v>205</v>
      </c>
      <c r="T45" t="s">
        <v>259</v>
      </c>
      <c r="U45" t="s">
        <v>259</v>
      </c>
      <c r="V45" t="s">
        <v>324</v>
      </c>
      <c r="W45" t="s">
        <v>205</v>
      </c>
      <c r="X45" t="s">
        <v>205</v>
      </c>
      <c r="Y45" t="s">
        <v>290</v>
      </c>
    </row>
    <row r="46" spans="1:25" ht="12.75" customHeight="1">
      <c r="A46" s="8">
        <f>IF(G45="","",IF(G45&lt;31,G45+1,""))</f>
        <v>21</v>
      </c>
      <c r="B46" s="5">
        <f t="shared" si="21"/>
        <v>22</v>
      </c>
      <c r="C46" s="5">
        <f t="shared" si="21"/>
        <v>23</v>
      </c>
      <c r="D46" s="5">
        <f t="shared" si="21"/>
        <v>24</v>
      </c>
      <c r="E46" s="5">
        <f t="shared" si="21"/>
        <v>25</v>
      </c>
      <c r="F46" s="5">
        <f t="shared" si="21"/>
        <v>26</v>
      </c>
      <c r="G46" s="5">
        <f t="shared" si="21"/>
        <v>27</v>
      </c>
      <c r="H46" s="5"/>
      <c r="I46" s="10">
        <f>IF(O45="","",IF(O45&lt;30,O45+1,""))</f>
        <v>19</v>
      </c>
      <c r="J46" s="5">
        <f t="shared" si="22"/>
        <v>20</v>
      </c>
      <c r="K46" s="5">
        <f t="shared" si="22"/>
        <v>21</v>
      </c>
      <c r="L46" s="5">
        <f t="shared" si="22"/>
        <v>22</v>
      </c>
      <c r="M46" s="5">
        <f t="shared" si="22"/>
        <v>23</v>
      </c>
      <c r="N46" s="5">
        <f t="shared" si="22"/>
        <v>24</v>
      </c>
      <c r="O46" s="5">
        <f t="shared" si="22"/>
        <v>25</v>
      </c>
      <c r="Q46" s="3"/>
      <c r="R46">
        <v>9</v>
      </c>
      <c r="S46" t="s">
        <v>206</v>
      </c>
      <c r="T46" t="s">
        <v>260</v>
      </c>
      <c r="U46" t="s">
        <v>260</v>
      </c>
      <c r="V46" t="s">
        <v>325</v>
      </c>
      <c r="W46" t="s">
        <v>342</v>
      </c>
      <c r="X46" t="s">
        <v>356</v>
      </c>
      <c r="Y46" t="s">
        <v>260</v>
      </c>
    </row>
    <row r="47" spans="1:25" ht="12.75" customHeight="1">
      <c r="A47" s="8">
        <f>IF(G46="","",IF(G46&lt;31,G46+1,""))</f>
        <v>28</v>
      </c>
      <c r="B47" s="5">
        <f t="shared" si="21"/>
        <v>29</v>
      </c>
      <c r="C47" s="5">
        <f t="shared" si="21"/>
        <v>30</v>
      </c>
      <c r="D47" s="5">
        <f t="shared" si="21"/>
        <v>31</v>
      </c>
      <c r="E47" s="5">
        <f t="shared" si="21"/>
      </c>
      <c r="F47" s="5">
        <f t="shared" si="21"/>
      </c>
      <c r="G47" s="5">
        <f t="shared" si="21"/>
      </c>
      <c r="H47" s="5"/>
      <c r="I47" s="10">
        <f>IF(O46="","",IF(O46&lt;30,O46+1,""))</f>
        <v>26</v>
      </c>
      <c r="J47" s="5">
        <f t="shared" si="22"/>
        <v>27</v>
      </c>
      <c r="K47" s="5">
        <f t="shared" si="22"/>
        <v>28</v>
      </c>
      <c r="L47" s="5">
        <f t="shared" si="22"/>
        <v>29</v>
      </c>
      <c r="M47" s="5">
        <f t="shared" si="22"/>
        <v>30</v>
      </c>
      <c r="N47" s="5">
        <f t="shared" si="22"/>
      </c>
      <c r="O47" s="5">
        <f t="shared" si="22"/>
      </c>
      <c r="R47">
        <v>10</v>
      </c>
      <c r="S47" t="s">
        <v>207</v>
      </c>
      <c r="T47" t="s">
        <v>261</v>
      </c>
      <c r="U47" t="s">
        <v>270</v>
      </c>
      <c r="V47" t="s">
        <v>326</v>
      </c>
      <c r="W47" t="s">
        <v>343</v>
      </c>
      <c r="X47" t="s">
        <v>357</v>
      </c>
      <c r="Y47" t="s">
        <v>261</v>
      </c>
    </row>
    <row r="48" spans="1:25" ht="12.75" customHeight="1">
      <c r="A48" s="8">
        <f>IF(G47="","",IF(G47&lt;31,G47+1,""))</f>
      </c>
      <c r="B48" s="5">
        <f t="shared" si="21"/>
      </c>
      <c r="C48" s="5">
        <f t="shared" si="21"/>
      </c>
      <c r="D48" s="5">
        <f t="shared" si="21"/>
      </c>
      <c r="E48" s="5">
        <f t="shared" si="21"/>
      </c>
      <c r="F48" s="5">
        <f t="shared" si="21"/>
      </c>
      <c r="G48" s="5">
        <f t="shared" si="21"/>
      </c>
      <c r="H48" s="5"/>
      <c r="I48" s="10">
        <f>IF(O47="","",IF(O47&lt;30,O47+1,""))</f>
      </c>
      <c r="J48" s="5">
        <f t="shared" si="22"/>
      </c>
      <c r="K48" s="5">
        <f t="shared" si="22"/>
      </c>
      <c r="L48" s="5">
        <f t="shared" si="22"/>
      </c>
      <c r="M48" s="5">
        <f t="shared" si="22"/>
      </c>
      <c r="N48" s="5">
        <f t="shared" si="22"/>
      </c>
      <c r="O48" s="5">
        <f t="shared" si="22"/>
      </c>
      <c r="R48">
        <v>11</v>
      </c>
      <c r="S48" t="s">
        <v>208</v>
      </c>
      <c r="T48" t="s">
        <v>262</v>
      </c>
      <c r="U48" t="s">
        <v>262</v>
      </c>
      <c r="V48" t="s">
        <v>327</v>
      </c>
      <c r="W48" t="s">
        <v>327</v>
      </c>
      <c r="X48" t="s">
        <v>358</v>
      </c>
      <c r="Y48" t="s">
        <v>262</v>
      </c>
    </row>
    <row r="49" spans="1:25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R49">
        <v>12</v>
      </c>
      <c r="S49" t="s">
        <v>209</v>
      </c>
      <c r="T49" t="s">
        <v>263</v>
      </c>
      <c r="U49" t="s">
        <v>271</v>
      </c>
      <c r="V49" t="s">
        <v>328</v>
      </c>
      <c r="W49" t="s">
        <v>344</v>
      </c>
      <c r="X49" t="s">
        <v>359</v>
      </c>
      <c r="Y49" t="s">
        <v>263</v>
      </c>
    </row>
    <row r="50" spans="1:25" ht="12.75" customHeight="1">
      <c r="A50" s="5"/>
      <c r="B50" s="5"/>
      <c r="C50" s="5"/>
      <c r="D50" s="36" t="str">
        <f>VLOOKUP(6,$R$38:$Y$49,$I$1)&amp;" "&amp;$E$1</f>
        <v>Junio 2023</v>
      </c>
      <c r="E50" s="5"/>
      <c r="F50" s="5"/>
      <c r="G50" s="5"/>
      <c r="H50" s="5"/>
      <c r="I50" s="5"/>
      <c r="J50" s="5"/>
      <c r="K50" s="5"/>
      <c r="L50" s="6" t="str">
        <f>VLOOKUP(12,$R$38:$Y$49,$I$1)&amp;" "&amp;$E$1</f>
        <v>Diciembre 2023</v>
      </c>
      <c r="M50" s="5"/>
      <c r="N50" s="5"/>
      <c r="O50" s="5"/>
      <c r="R50">
        <v>13</v>
      </c>
      <c r="S50" t="s">
        <v>717</v>
      </c>
      <c r="T50" t="s">
        <v>719</v>
      </c>
      <c r="U50" t="s">
        <v>718</v>
      </c>
      <c r="V50" t="s">
        <v>722</v>
      </c>
      <c r="W50" t="s">
        <v>721</v>
      </c>
      <c r="X50" t="s">
        <v>724</v>
      </c>
      <c r="Y50" t="s">
        <v>726</v>
      </c>
    </row>
    <row r="51" spans="1:21" ht="16.5" customHeight="1">
      <c r="A51" s="11" t="str">
        <f>$A$6</f>
        <v>Domingo</v>
      </c>
      <c r="B51" s="12" t="str">
        <f>$B$6</f>
        <v>Lunes</v>
      </c>
      <c r="C51" s="12" t="str">
        <f>$C$6</f>
        <v>Martes</v>
      </c>
      <c r="D51" s="12" t="str">
        <f>$D$6</f>
        <v>Miércoles</v>
      </c>
      <c r="E51" s="12" t="str">
        <f>$E$6</f>
        <v>Jueves</v>
      </c>
      <c r="F51" s="12" t="str">
        <f>$F$6</f>
        <v>Viernes</v>
      </c>
      <c r="G51" s="12" t="str">
        <f>$G$6</f>
        <v>Sábado</v>
      </c>
      <c r="H51" s="12"/>
      <c r="I51" s="11" t="str">
        <f>$A$6</f>
        <v>Domingo</v>
      </c>
      <c r="J51" s="12" t="str">
        <f>$B$6</f>
        <v>Lunes</v>
      </c>
      <c r="K51" s="12" t="str">
        <f>$C$6</f>
        <v>Martes</v>
      </c>
      <c r="L51" s="12" t="str">
        <f>$D$6</f>
        <v>Miércoles</v>
      </c>
      <c r="M51" s="12" t="str">
        <f>$E$6</f>
        <v>Jueves</v>
      </c>
      <c r="N51" s="12" t="str">
        <f>$F$6</f>
        <v>Viernes</v>
      </c>
      <c r="O51" s="12" t="str">
        <f>$G$6</f>
        <v>Sábado</v>
      </c>
      <c r="P51" s="7"/>
      <c r="U51" t="s">
        <v>736</v>
      </c>
    </row>
    <row r="52" spans="1:25" ht="12.75" customHeight="1">
      <c r="A52" s="13">
        <f>IF($O$1+151+$L$1+INT(-($O$1+151+$L$1)/7+1)*7=A$2,1,"")</f>
      </c>
      <c r="B52" s="9">
        <f aca="true" t="shared" si="23" ref="B52:G52">IF($O$1+151+$L$1+INT(-($O$1+151+$L$1)/7+1)*7=B$2,1,IF(A52&lt;&gt;"",A52+1,""))</f>
      </c>
      <c r="C52" s="9">
        <f t="shared" si="23"/>
      </c>
      <c r="D52" s="9">
        <f t="shared" si="23"/>
      </c>
      <c r="E52" s="9">
        <f t="shared" si="23"/>
        <v>1</v>
      </c>
      <c r="F52" s="9">
        <f t="shared" si="23"/>
        <v>2</v>
      </c>
      <c r="G52" s="9">
        <f t="shared" si="23"/>
        <v>3</v>
      </c>
      <c r="H52" s="9"/>
      <c r="I52" s="13">
        <f>IF($O$1+334+$L$1+INT(-($O$1+334+$L$1)/7+1)*7=I$2,1,"")</f>
      </c>
      <c r="J52" s="9">
        <f aca="true" t="shared" si="24" ref="J52:O52">IF($O$1+334+$L$1+INT(-($O$1+334+$L$1)/7+1)*7=J$2,1,IF(I52&lt;&gt;"",I52+1,""))</f>
      </c>
      <c r="K52" s="9">
        <f t="shared" si="24"/>
      </c>
      <c r="L52" s="9">
        <f t="shared" si="24"/>
      </c>
      <c r="M52" s="9">
        <f t="shared" si="24"/>
      </c>
      <c r="N52" s="9">
        <f t="shared" si="24"/>
        <v>1</v>
      </c>
      <c r="O52" s="9">
        <f t="shared" si="24"/>
        <v>2</v>
      </c>
      <c r="P52" s="3"/>
      <c r="S52" s="15" t="s">
        <v>1266</v>
      </c>
      <c r="T52" s="15" t="s">
        <v>1197</v>
      </c>
      <c r="U52" s="15" t="s">
        <v>1194</v>
      </c>
      <c r="V52" s="15" t="s">
        <v>1195</v>
      </c>
      <c r="W52" s="15" t="s">
        <v>1196</v>
      </c>
      <c r="X52" s="15" t="s">
        <v>1266</v>
      </c>
      <c r="Y52" s="15" t="s">
        <v>1197</v>
      </c>
    </row>
    <row r="53" spans="1:25" ht="12.75" customHeight="1">
      <c r="A53" s="8">
        <f>IF(G52="","",IF(G52&lt;30,G52+1,""))</f>
        <v>4</v>
      </c>
      <c r="B53" s="5">
        <f aca="true" t="shared" si="25" ref="B53:G57">IF(A53="","",IF(A53&lt;30,A53+1,""))</f>
        <v>5</v>
      </c>
      <c r="C53" s="5">
        <f t="shared" si="25"/>
        <v>6</v>
      </c>
      <c r="D53" s="5">
        <f t="shared" si="25"/>
        <v>7</v>
      </c>
      <c r="E53" s="5">
        <f t="shared" si="25"/>
        <v>8</v>
      </c>
      <c r="F53" s="5">
        <f t="shared" si="25"/>
        <v>9</v>
      </c>
      <c r="G53" s="5">
        <f t="shared" si="25"/>
        <v>10</v>
      </c>
      <c r="H53" s="5"/>
      <c r="I53" s="10">
        <f>IF(O52="","",IF(O52&lt;31,O52+1,""))</f>
        <v>3</v>
      </c>
      <c r="J53" s="5">
        <f aca="true" t="shared" si="26" ref="J53:O57">IF(I53="","",IF(I53&lt;31,I53+1,""))</f>
        <v>4</v>
      </c>
      <c r="K53" s="5">
        <f t="shared" si="26"/>
        <v>5</v>
      </c>
      <c r="L53" s="5">
        <f t="shared" si="26"/>
        <v>6</v>
      </c>
      <c r="M53" s="5">
        <f t="shared" si="26"/>
        <v>7</v>
      </c>
      <c r="N53" s="5">
        <f t="shared" si="26"/>
        <v>8</v>
      </c>
      <c r="O53" s="5">
        <f t="shared" si="26"/>
        <v>9</v>
      </c>
      <c r="S53" s="15" t="s">
        <v>1219</v>
      </c>
      <c r="T53" s="15" t="s">
        <v>1198</v>
      </c>
      <c r="U53" s="15" t="s">
        <v>1199</v>
      </c>
      <c r="V53" s="15" t="s">
        <v>1200</v>
      </c>
      <c r="W53" s="15" t="s">
        <v>1201</v>
      </c>
      <c r="X53" s="15" t="s">
        <v>1202</v>
      </c>
      <c r="Y53" s="15" t="s">
        <v>1203</v>
      </c>
    </row>
    <row r="54" spans="1:25" ht="12.75" customHeight="1">
      <c r="A54" s="8">
        <f>IF(G53="","",IF(G53&lt;30,G53+1,""))</f>
        <v>11</v>
      </c>
      <c r="B54" s="5">
        <f t="shared" si="25"/>
        <v>12</v>
      </c>
      <c r="C54" s="5">
        <f t="shared" si="25"/>
        <v>13</v>
      </c>
      <c r="D54" s="5">
        <f t="shared" si="25"/>
        <v>14</v>
      </c>
      <c r="E54" s="5">
        <f t="shared" si="25"/>
        <v>15</v>
      </c>
      <c r="F54" s="5">
        <f t="shared" si="25"/>
        <v>16</v>
      </c>
      <c r="G54" s="5">
        <f t="shared" si="25"/>
        <v>17</v>
      </c>
      <c r="H54" s="5"/>
      <c r="I54" s="10">
        <f>IF(O53="","",IF(O53&lt;31,O53+1,""))</f>
        <v>10</v>
      </c>
      <c r="J54" s="5">
        <f t="shared" si="26"/>
        <v>11</v>
      </c>
      <c r="K54" s="5">
        <f t="shared" si="26"/>
        <v>12</v>
      </c>
      <c r="L54" s="5">
        <f t="shared" si="26"/>
        <v>13</v>
      </c>
      <c r="M54" s="5">
        <f t="shared" si="26"/>
        <v>14</v>
      </c>
      <c r="N54" s="5">
        <f t="shared" si="26"/>
        <v>15</v>
      </c>
      <c r="O54" s="5">
        <f t="shared" si="26"/>
        <v>16</v>
      </c>
      <c r="Q54" s="7"/>
      <c r="S54" s="32" t="s">
        <v>1323</v>
      </c>
      <c r="T54" s="32" t="s">
        <v>1324</v>
      </c>
      <c r="U54" s="32" t="s">
        <v>1325</v>
      </c>
      <c r="V54" s="32" t="s">
        <v>1326</v>
      </c>
      <c r="W54" s="32" t="s">
        <v>1327</v>
      </c>
      <c r="X54" s="32" t="s">
        <v>1328</v>
      </c>
      <c r="Y54" s="32" t="s">
        <v>1329</v>
      </c>
    </row>
    <row r="55" spans="1:25" ht="12.75" customHeight="1">
      <c r="A55" s="8">
        <f>IF(G54="","",IF(G54&lt;30,G54+1,""))</f>
        <v>18</v>
      </c>
      <c r="B55" s="5">
        <f t="shared" si="25"/>
        <v>19</v>
      </c>
      <c r="C55" s="43">
        <f t="shared" si="25"/>
        <v>20</v>
      </c>
      <c r="D55" s="5">
        <f t="shared" si="25"/>
        <v>21</v>
      </c>
      <c r="E55" s="5">
        <f t="shared" si="25"/>
        <v>22</v>
      </c>
      <c r="F55" s="5">
        <f t="shared" si="25"/>
        <v>23</v>
      </c>
      <c r="G55" s="5">
        <f t="shared" si="25"/>
        <v>24</v>
      </c>
      <c r="H55" s="5"/>
      <c r="I55" s="10">
        <f>IF(O54="","",IF(O54&lt;31,O54+1,""))</f>
        <v>17</v>
      </c>
      <c r="J55" s="5">
        <f t="shared" si="26"/>
        <v>18</v>
      </c>
      <c r="K55" s="5">
        <f t="shared" si="26"/>
        <v>19</v>
      </c>
      <c r="L55" s="5">
        <f t="shared" si="26"/>
        <v>20</v>
      </c>
      <c r="M55" s="5">
        <f t="shared" si="26"/>
        <v>21</v>
      </c>
      <c r="N55" s="5">
        <f t="shared" si="26"/>
        <v>22</v>
      </c>
      <c r="O55" s="5">
        <f t="shared" si="26"/>
        <v>23</v>
      </c>
      <c r="Q55" s="3"/>
      <c r="S55" s="15" t="s">
        <v>717</v>
      </c>
      <c r="T55" s="15" t="s">
        <v>719</v>
      </c>
      <c r="U55" s="15" t="s">
        <v>718</v>
      </c>
      <c r="V55" s="15" t="s">
        <v>722</v>
      </c>
      <c r="W55" s="15" t="s">
        <v>721</v>
      </c>
      <c r="X55" s="15" t="s">
        <v>724</v>
      </c>
      <c r="Y55" s="15" t="s">
        <v>726</v>
      </c>
    </row>
    <row r="56" spans="1:25" ht="12.75" customHeight="1">
      <c r="A56" s="8">
        <f>IF(G55="","",IF(G55&lt;30,G55+1,""))</f>
        <v>25</v>
      </c>
      <c r="B56" s="5">
        <f t="shared" si="25"/>
        <v>26</v>
      </c>
      <c r="C56" s="5">
        <f t="shared" si="25"/>
        <v>27</v>
      </c>
      <c r="D56" s="5">
        <f t="shared" si="25"/>
        <v>28</v>
      </c>
      <c r="E56" s="5">
        <f t="shared" si="25"/>
        <v>29</v>
      </c>
      <c r="F56" s="5">
        <f t="shared" si="25"/>
        <v>30</v>
      </c>
      <c r="G56" s="5">
        <f t="shared" si="25"/>
      </c>
      <c r="H56" s="5"/>
      <c r="I56" s="10">
        <f>IF(O55="","",IF(O55&lt;31,O55+1,""))</f>
        <v>24</v>
      </c>
      <c r="J56" s="5">
        <f t="shared" si="26"/>
        <v>25</v>
      </c>
      <c r="K56" s="5">
        <f t="shared" si="26"/>
        <v>26</v>
      </c>
      <c r="L56" s="5">
        <f t="shared" si="26"/>
        <v>27</v>
      </c>
      <c r="M56" s="5">
        <f t="shared" si="26"/>
        <v>28</v>
      </c>
      <c r="N56" s="5">
        <f t="shared" si="26"/>
        <v>29</v>
      </c>
      <c r="O56" s="5">
        <f t="shared" si="26"/>
        <v>30</v>
      </c>
      <c r="S56" s="15" t="s">
        <v>1281</v>
      </c>
      <c r="T56" s="15" t="s">
        <v>1282</v>
      </c>
      <c r="U56" s="15" t="s">
        <v>1283</v>
      </c>
      <c r="V56" s="15" t="s">
        <v>1284</v>
      </c>
      <c r="W56" s="15" t="s">
        <v>1285</v>
      </c>
      <c r="X56" s="15" t="s">
        <v>1281</v>
      </c>
      <c r="Y56" s="32" t="s">
        <v>1286</v>
      </c>
    </row>
    <row r="57" spans="1:25" ht="12.75" customHeight="1">
      <c r="A57" s="8">
        <f>IF(G56="","",IF(G56&lt;30,G56+1,""))</f>
      </c>
      <c r="B57" s="5">
        <f t="shared" si="25"/>
      </c>
      <c r="C57" s="5">
        <f t="shared" si="25"/>
      </c>
      <c r="D57" s="5">
        <f t="shared" si="25"/>
      </c>
      <c r="E57" s="5">
        <f t="shared" si="25"/>
      </c>
      <c r="F57" s="5">
        <f t="shared" si="25"/>
      </c>
      <c r="G57" s="5">
        <f t="shared" si="25"/>
      </c>
      <c r="H57" s="5"/>
      <c r="I57" s="10">
        <f>IF(O56="","",IF(O56&lt;31,O56+1,""))</f>
        <v>31</v>
      </c>
      <c r="J57" s="5">
        <f t="shared" si="26"/>
      </c>
      <c r="K57" s="5">
        <f t="shared" si="26"/>
      </c>
      <c r="L57" s="5">
        <f t="shared" si="26"/>
      </c>
      <c r="M57" s="5">
        <f t="shared" si="26"/>
      </c>
      <c r="N57" s="5">
        <f t="shared" si="26"/>
      </c>
      <c r="O57" s="5">
        <f t="shared" si="26"/>
      </c>
      <c r="S57" s="15" t="s">
        <v>1220</v>
      </c>
      <c r="T57" s="15" t="s">
        <v>1204</v>
      </c>
      <c r="U57" s="15" t="s">
        <v>1205</v>
      </c>
      <c r="V57" s="15" t="s">
        <v>1206</v>
      </c>
      <c r="W57" s="15" t="s">
        <v>1207</v>
      </c>
      <c r="X57" s="15" t="s">
        <v>1208</v>
      </c>
      <c r="Y57" s="15" t="s">
        <v>1209</v>
      </c>
    </row>
    <row r="58" spans="19:25" ht="12.75" customHeight="1">
      <c r="S58" s="15" t="s">
        <v>1221</v>
      </c>
      <c r="T58" s="15" t="s">
        <v>1210</v>
      </c>
      <c r="U58" s="15" t="s">
        <v>1211</v>
      </c>
      <c r="V58" s="15" t="s">
        <v>1212</v>
      </c>
      <c r="W58" s="15" t="s">
        <v>1213</v>
      </c>
      <c r="X58" s="15" t="s">
        <v>1214</v>
      </c>
      <c r="Y58" s="15" t="s">
        <v>1213</v>
      </c>
    </row>
    <row r="59" spans="2:25" ht="12.75">
      <c r="B59" s="262" t="s">
        <v>1279</v>
      </c>
      <c r="C59" s="262"/>
      <c r="D59" s="262"/>
      <c r="I59" s="262" t="s">
        <v>1280</v>
      </c>
      <c r="J59" s="262"/>
      <c r="K59" s="262"/>
      <c r="S59" s="15" t="s">
        <v>1215</v>
      </c>
      <c r="T59" s="15" t="s">
        <v>1215</v>
      </c>
      <c r="U59" s="15" t="s">
        <v>1216</v>
      </c>
      <c r="V59" s="15" t="s">
        <v>1217</v>
      </c>
      <c r="W59" s="15" t="s">
        <v>1218</v>
      </c>
      <c r="X59" s="15" t="s">
        <v>1215</v>
      </c>
      <c r="Y59" s="15" t="s">
        <v>1218</v>
      </c>
    </row>
    <row r="60" spans="19:25" ht="12.75">
      <c r="S60" s="62" t="s">
        <v>1222</v>
      </c>
      <c r="T60" s="62" t="s">
        <v>1288</v>
      </c>
      <c r="U60" s="62" t="s">
        <v>1287</v>
      </c>
      <c r="V60" s="62" t="s">
        <v>1289</v>
      </c>
      <c r="W60" s="70" t="s">
        <v>1320</v>
      </c>
      <c r="X60" s="69" t="s">
        <v>1330</v>
      </c>
      <c r="Y60" s="66"/>
    </row>
    <row r="61" spans="2:25" ht="12.75">
      <c r="B61" s="72" t="str">
        <f>S7&amp;"-"&amp;VLOOKUP(T7,$R$38:$Y$49,$I$1)</f>
        <v>5-Febrero</v>
      </c>
      <c r="C61" s="62" t="str">
        <f>VLOOKUP("Septuagésima",$S$52:$Y$70,$I$1-1,FALSE)</f>
        <v>Septuagésima</v>
      </c>
      <c r="D61" s="36"/>
      <c r="H61" s="73">
        <v>40179</v>
      </c>
      <c r="J61" s="72" t="str">
        <f aca="true" t="shared" si="27" ref="J61:J70">DAY(H61)&amp;"-"&amp;VLOOKUP(MONTH(H61),$R$38:$Y$49,$I$1)</f>
        <v>1-Enero</v>
      </c>
      <c r="K61" s="62" t="str">
        <f>VLOOKUP("Circuncisión",$S$52:$Y$70,$I$1-1,FALSE)</f>
        <v>Circuncisión</v>
      </c>
      <c r="S61" s="15" t="s">
        <v>1038</v>
      </c>
      <c r="T61" s="15" t="s">
        <v>1264</v>
      </c>
      <c r="U61" s="15" t="s">
        <v>1262</v>
      </c>
      <c r="V61" s="69" t="s">
        <v>1322</v>
      </c>
      <c r="W61" s="15" t="s">
        <v>1265</v>
      </c>
      <c r="X61" s="70" t="s">
        <v>1321</v>
      </c>
      <c r="Y61" s="15" t="s">
        <v>1263</v>
      </c>
    </row>
    <row r="62" spans="2:25" ht="12.75">
      <c r="B62" s="72" t="str">
        <f>S8&amp;"-"&amp;VLOOKUP(T8,$R$38:$Y$49,$I$1)</f>
        <v>22-Febrero</v>
      </c>
      <c r="C62" s="62" t="str">
        <f>VLOOKUP("Miérc. de Ceniza",$S$52:$Y$70,$I$1-1,FALSE)</f>
        <v>Miérc. de Ceniza</v>
      </c>
      <c r="H62" s="73">
        <v>40184</v>
      </c>
      <c r="J62" s="72" t="str">
        <f t="shared" si="27"/>
        <v>6-Enero</v>
      </c>
      <c r="K62" s="62" t="str">
        <f>VLOOKUP("Epifanía",$S$52:$Y$70,$I$1-1,FALSE)</f>
        <v>Epifanía</v>
      </c>
      <c r="S62" s="15" t="s">
        <v>1090</v>
      </c>
      <c r="T62" s="15" t="s">
        <v>1230</v>
      </c>
      <c r="U62" s="15" t="s">
        <v>1229</v>
      </c>
      <c r="V62" s="15" t="s">
        <v>1231</v>
      </c>
      <c r="W62" s="15" t="s">
        <v>1232</v>
      </c>
      <c r="X62" s="15" t="s">
        <v>1232</v>
      </c>
      <c r="Y62" s="15" t="s">
        <v>1233</v>
      </c>
    </row>
    <row r="63" spans="2:25" ht="12.75">
      <c r="B63" s="72" t="str">
        <f>S9&amp;"-"&amp;VLOOKUP(T9,$R$38:$Y$49,$I$1)</f>
        <v>2-Abril</v>
      </c>
      <c r="C63" s="62" t="str">
        <f>VLOOKUP("Domingo de Ramos",$S$52:$Y$70,$I$1-1,FALSE)</f>
        <v>Domingo de Ramos</v>
      </c>
      <c r="H63" s="73">
        <v>40256</v>
      </c>
      <c r="J63" s="72" t="str">
        <f t="shared" si="27"/>
        <v>19-Marzo</v>
      </c>
      <c r="K63" s="62" t="str">
        <f>VLOOKUP("S. José",$S$52:$Y$70,$I$1-1,FALSE)</f>
        <v>S. José</v>
      </c>
      <c r="S63" s="15" t="s">
        <v>1223</v>
      </c>
      <c r="T63" s="15" t="s">
        <v>1267</v>
      </c>
      <c r="U63" s="15" t="s">
        <v>1268</v>
      </c>
      <c r="V63" s="15" t="s">
        <v>1267</v>
      </c>
      <c r="W63" s="15" t="s">
        <v>1269</v>
      </c>
      <c r="X63" s="15" t="s">
        <v>1270</v>
      </c>
      <c r="Y63" s="15" t="s">
        <v>1271</v>
      </c>
    </row>
    <row r="64" spans="2:25" ht="12.75">
      <c r="B64" s="72" t="str">
        <f>S10&amp;"-"&amp;VLOOKUP(T9,$R$38:$Y$49,$I$1)</f>
        <v>7-Abril</v>
      </c>
      <c r="C64" s="62" t="str">
        <f>VLOOKUP("Viernes Santo",$S$52:$Y$70,$I$1-1,FALSE)</f>
        <v>Viernes Santo</v>
      </c>
      <c r="H64" s="73">
        <v>40358</v>
      </c>
      <c r="J64" s="72" t="str">
        <f t="shared" si="27"/>
        <v>29-Junio</v>
      </c>
      <c r="K64" s="62" t="str">
        <f>VLOOKUP("S. Pedro y S. Pablo",$S$52:$Y$70,$I$1-1,FALSE)</f>
        <v>S. Pedro y S. Pablo</v>
      </c>
      <c r="S64" s="15" t="s">
        <v>1224</v>
      </c>
      <c r="T64" s="32" t="s">
        <v>1272</v>
      </c>
      <c r="U64" s="15" t="s">
        <v>1273</v>
      </c>
      <c r="V64" s="70" t="s">
        <v>1298</v>
      </c>
      <c r="W64" s="70" t="s">
        <v>1297</v>
      </c>
      <c r="X64" s="70" t="s">
        <v>1296</v>
      </c>
      <c r="Y64" s="70" t="s">
        <v>1299</v>
      </c>
    </row>
    <row r="65" spans="2:25" ht="12.75">
      <c r="B65" s="72" t="str">
        <f>S11&amp;"-"&amp;VLOOKUP(T11,$R$38:$Y$49,$I$1)</f>
        <v>9-Abril</v>
      </c>
      <c r="C65" s="62" t="str">
        <f>VLOOKUP("Pascua",$S$52:$Y$70,$I$1-1,FALSE)</f>
        <v>Pascua</v>
      </c>
      <c r="H65" s="73">
        <v>40405</v>
      </c>
      <c r="J65" s="72" t="str">
        <f t="shared" si="27"/>
        <v>15-Agosto</v>
      </c>
      <c r="K65" s="62" t="str">
        <f>VLOOKUP("Asunción",$S$52:$Y$70,$I$1-1,FALSE)</f>
        <v>Asunción</v>
      </c>
      <c r="S65" s="15" t="s">
        <v>1225</v>
      </c>
      <c r="T65" s="15" t="s">
        <v>1235</v>
      </c>
      <c r="U65" s="15" t="s">
        <v>1234</v>
      </c>
      <c r="V65" s="15" t="s">
        <v>1236</v>
      </c>
      <c r="W65" s="15" t="s">
        <v>1237</v>
      </c>
      <c r="X65" s="15" t="s">
        <v>1238</v>
      </c>
      <c r="Y65" s="15" t="s">
        <v>1239</v>
      </c>
    </row>
    <row r="66" spans="2:25" ht="12.75">
      <c r="B66" s="72" t="str">
        <f>S12&amp;"-"&amp;VLOOKUP(T12,$R$38:$Y$49,$I$1)</f>
        <v>18-Mayo</v>
      </c>
      <c r="C66" s="62" t="str">
        <f>VLOOKUP("Ascensión",$S$52:$Y$70,$I$1-1,FALSE)</f>
        <v>Ascensión</v>
      </c>
      <c r="H66" s="73">
        <v>40420</v>
      </c>
      <c r="J66" s="72" t="str">
        <f t="shared" si="27"/>
        <v>30-Agosto</v>
      </c>
      <c r="K66" s="62" t="str">
        <f>VLOOKUP("Sta. Rosa de Lima",$S$52:$Y$70,$I$1-1,FALSE)</f>
        <v>Sta. Rosa de Lima</v>
      </c>
      <c r="S66" s="15" t="s">
        <v>1226</v>
      </c>
      <c r="T66" s="32" t="s">
        <v>1274</v>
      </c>
      <c r="U66" s="32" t="s">
        <v>1275</v>
      </c>
      <c r="V66" s="32" t="s">
        <v>1276</v>
      </c>
      <c r="W66" s="64" t="s">
        <v>1277</v>
      </c>
      <c r="X66" s="15" t="s">
        <v>1226</v>
      </c>
      <c r="Y66" s="32" t="s">
        <v>1278</v>
      </c>
    </row>
    <row r="67" spans="2:25" ht="12.75">
      <c r="B67" s="72" t="str">
        <f>S13&amp;"-"&amp;VLOOKUP(T13,$R$38:$Y$49,$I$1)</f>
        <v>28-Mayo</v>
      </c>
      <c r="C67" s="62" t="str">
        <f>VLOOKUP("Pentecostés",$S$52:$Y$70,$I$1-1,FALSE)</f>
        <v>Pentecostés</v>
      </c>
      <c r="H67" s="73">
        <v>40483</v>
      </c>
      <c r="J67" s="72" t="str">
        <f t="shared" si="27"/>
        <v>1-Noviembre</v>
      </c>
      <c r="K67" s="62" t="str">
        <f>VLOOKUP("Todos los Santos",$S$52:$Y$70,$I$1-1,FALSE)</f>
        <v>Todos los Santos</v>
      </c>
      <c r="S67" s="15" t="s">
        <v>1125</v>
      </c>
      <c r="T67" s="15" t="s">
        <v>1240</v>
      </c>
      <c r="U67" s="15" t="s">
        <v>1228</v>
      </c>
      <c r="V67" s="15" t="s">
        <v>1241</v>
      </c>
      <c r="W67" s="15" t="s">
        <v>1242</v>
      </c>
      <c r="X67" s="15" t="s">
        <v>1243</v>
      </c>
      <c r="Y67" s="15" t="s">
        <v>1244</v>
      </c>
    </row>
    <row r="68" spans="2:25" ht="12.75">
      <c r="B68" s="72" t="str">
        <f>S14&amp;"-"&amp;VLOOKUP(T14,$R$38:$Y$49,$I$1)</f>
        <v>8-Junio</v>
      </c>
      <c r="C68" s="62" t="str">
        <f>VLOOKUP("Corpus Christi",$S$52:$Y$70,$I$1-1,FALSE)</f>
        <v>Corpus Christi</v>
      </c>
      <c r="H68" s="73">
        <v>40484</v>
      </c>
      <c r="J68" s="72" t="str">
        <f t="shared" si="27"/>
        <v>2-Noviembre</v>
      </c>
      <c r="K68" s="62" t="str">
        <f>VLOOKUP("Día de los Difuntos",$S$52:$Y$70,$I$1-1,FALSE)</f>
        <v>Día de los Difuntos</v>
      </c>
      <c r="S68" s="15" t="s">
        <v>1190</v>
      </c>
      <c r="T68" s="15" t="s">
        <v>1245</v>
      </c>
      <c r="U68" t="s">
        <v>1227</v>
      </c>
      <c r="V68" s="15" t="s">
        <v>1246</v>
      </c>
      <c r="W68" s="15" t="s">
        <v>1247</v>
      </c>
      <c r="X68" s="15" t="s">
        <v>1248</v>
      </c>
      <c r="Y68" s="15" t="s">
        <v>1249</v>
      </c>
    </row>
    <row r="69" spans="2:25" ht="12.75">
      <c r="B69" s="1" t="str">
        <f>IF(U15&gt;30,"Prim.dgo.dic.","Ult.dgo.nov.")</f>
        <v>Prim.dgo.dic.</v>
      </c>
      <c r="C69" s="62" t="str">
        <f>VLOOKUP("1er.dgo. Adviento",$S$52:$Y$70,$I$1-1,FALSE)</f>
        <v>1er.dgo. Adviento</v>
      </c>
      <c r="H69" s="73">
        <v>40520</v>
      </c>
      <c r="J69" s="72" t="str">
        <f t="shared" si="27"/>
        <v>8-Diciembre</v>
      </c>
      <c r="K69" s="62" t="str">
        <f>VLOOKUP("Inmaculada Concepción",$S$52:$Y$70,$I$1-1,FALSE)</f>
        <v>Inmaculada Concepción</v>
      </c>
      <c r="S69" s="15" t="s">
        <v>1041</v>
      </c>
      <c r="T69" s="15" t="s">
        <v>1250</v>
      </c>
      <c r="U69" s="15" t="s">
        <v>1251</v>
      </c>
      <c r="V69" s="15" t="s">
        <v>1252</v>
      </c>
      <c r="W69" s="15" t="s">
        <v>1253</v>
      </c>
      <c r="X69" s="15" t="s">
        <v>1254</v>
      </c>
      <c r="Y69" s="15" t="s">
        <v>1255</v>
      </c>
    </row>
    <row r="70" spans="1:25" ht="12.75">
      <c r="A70" s="65"/>
      <c r="H70" s="73">
        <v>40537</v>
      </c>
      <c r="J70" s="72" t="str">
        <f t="shared" si="27"/>
        <v>25-Diciembre</v>
      </c>
      <c r="K70" s="62" t="str">
        <f>VLOOKUP("Navidad",$S$52:$Y$70,$I$1-1,FALSE)</f>
        <v>Navidad</v>
      </c>
      <c r="S70" s="15" t="s">
        <v>1039</v>
      </c>
      <c r="T70" s="15" t="s">
        <v>1256</v>
      </c>
      <c r="U70" s="15" t="s">
        <v>1257</v>
      </c>
      <c r="V70" s="15" t="s">
        <v>1258</v>
      </c>
      <c r="W70" s="15" t="s">
        <v>1259</v>
      </c>
      <c r="X70" s="15" t="s">
        <v>1260</v>
      </c>
      <c r="Y70" s="15" t="s">
        <v>1261</v>
      </c>
    </row>
  </sheetData>
  <sheetProtection sheet="1"/>
  <mergeCells count="2">
    <mergeCell ref="I59:K59"/>
    <mergeCell ref="B59:D59"/>
  </mergeCells>
  <conditionalFormatting sqref="B43:G43 B34:G34">
    <cfRule type="cellIs" priority="1" dxfId="12" operator="equal" stopIfTrue="1">
      <formula>1</formula>
    </cfRule>
  </conditionalFormatting>
  <conditionalFormatting sqref="A47:D47 B36:G36">
    <cfRule type="cellIs" priority="2" dxfId="12" operator="equal" stopIfTrue="1">
      <formula>25</formula>
    </cfRule>
  </conditionalFormatting>
  <conditionalFormatting sqref="J29:O30 J25:O25 J19:O19 J22:O23">
    <cfRule type="cellIs" priority="3" dxfId="15" operator="equal" stopIfTrue="1">
      <formula>12</formula>
    </cfRule>
  </conditionalFormatting>
  <conditionalFormatting sqref="I17:O17">
    <cfRule type="cellIs" priority="4" dxfId="12" operator="equal" stopIfTrue="1">
      <formula>15</formula>
    </cfRule>
  </conditionalFormatting>
  <conditionalFormatting sqref="L44:O44">
    <cfRule type="cellIs" priority="5" dxfId="12" operator="equal" stopIfTrue="1">
      <formula>1</formula>
    </cfRule>
    <cfRule type="cellIs" priority="6" dxfId="12" operator="equal" stopIfTrue="1">
      <formula>2</formula>
    </cfRule>
  </conditionalFormatting>
  <conditionalFormatting sqref="A7:G8">
    <cfRule type="cellIs" priority="7" dxfId="2" operator="equal" stopIfTrue="1">
      <formula>1</formula>
    </cfRule>
    <cfRule type="cellIs" priority="8" dxfId="2" operator="equal" stopIfTrue="1">
      <formula>6</formula>
    </cfRule>
  </conditionalFormatting>
  <conditionalFormatting sqref="B27:G28 A27">
    <cfRule type="cellIs" priority="9" dxfId="2" operator="equal" stopIfTrue="1">
      <formula>19</formula>
    </cfRule>
  </conditionalFormatting>
  <conditionalFormatting sqref="I20:O21">
    <cfRule type="cellIs" priority="10" dxfId="2" operator="equal" stopIfTrue="1">
      <formula>30</formula>
    </cfRule>
  </conditionalFormatting>
  <conditionalFormatting sqref="A56:G57">
    <cfRule type="cellIs" priority="13" dxfId="2" operator="equal" stopIfTrue="1">
      <formula>29</formula>
    </cfRule>
  </conditionalFormatting>
  <conditionalFormatting sqref="I18:O18">
    <cfRule type="cellIs" priority="14" dxfId="2" operator="equal" stopIfTrue="1">
      <formula>15</formula>
    </cfRule>
  </conditionalFormatting>
  <conditionalFormatting sqref="I43:O43 I44:K44">
    <cfRule type="cellIs" priority="15" dxfId="2" operator="equal" stopIfTrue="1">
      <formula>1</formula>
    </cfRule>
    <cfRule type="cellIs" priority="16" dxfId="2" operator="equal" stopIfTrue="1">
      <formula>2</formula>
    </cfRule>
  </conditionalFormatting>
  <conditionalFormatting sqref="I53:O53">
    <cfRule type="cellIs" priority="17" dxfId="2" operator="equal" stopIfTrue="1">
      <formula>8</formula>
    </cfRule>
  </conditionalFormatting>
  <conditionalFormatting sqref="I55:O56">
    <cfRule type="cellIs" priority="18" dxfId="2" operator="equal" stopIfTrue="1">
      <formula>25</formula>
    </cfRule>
  </conditionalFormatting>
  <conditionalFormatting sqref="A28:A30">
    <cfRule type="expression" priority="19" dxfId="0" stopIfTrue="1">
      <formula>AND(A28=$S$11,$T$11=3)</formula>
    </cfRule>
  </conditionalFormatting>
  <conditionalFormatting sqref="A34:A38">
    <cfRule type="expression" priority="20" dxfId="0" stopIfTrue="1">
      <formula>AND(A34=$S$11,$T$11=4)</formula>
    </cfRule>
  </conditionalFormatting>
  <dataValidations count="1">
    <dataValidation type="list" allowBlank="1" showInputMessage="1" showErrorMessage="1" sqref="H1">
      <formula1>$S$28:$Y$28</formula1>
    </dataValidation>
  </dataValidations>
  <printOptions/>
  <pageMargins left="0.7874015748031497" right="0.7874015748031497" top="1.1811023622047245" bottom="0.7874015748031497" header="0" footer="0"/>
  <pageSetup fitToHeight="1" fitToWidth="1" horizontalDpi="120" verticalDpi="12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X48"/>
  <sheetViews>
    <sheetView showGridLines="0" showRowColHeader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2" width="3.7109375" style="0" customWidth="1"/>
    <col min="3" max="3" width="11.7109375" style="0" customWidth="1"/>
    <col min="4" max="4" width="22.7109375" style="0" customWidth="1"/>
    <col min="5" max="5" width="15.7109375" style="0" customWidth="1"/>
    <col min="6" max="6" width="22.7109375" style="0" customWidth="1"/>
    <col min="7" max="10" width="11.421875" style="0" hidden="1" customWidth="1"/>
    <col min="11" max="11" width="12.7109375" style="0" hidden="1" customWidth="1"/>
    <col min="12" max="12" width="12.28125" style="0" hidden="1" customWidth="1"/>
    <col min="13" max="13" width="12.7109375" style="0" hidden="1" customWidth="1"/>
    <col min="14" max="19" width="11.421875" style="0" hidden="1" customWidth="1"/>
    <col min="20" max="20" width="8.7109375" style="0" hidden="1" customWidth="1"/>
    <col min="21" max="21" width="5.7109375" style="0" hidden="1" customWidth="1"/>
    <col min="22" max="26" width="11.421875" style="0" hidden="1" customWidth="1"/>
  </cols>
  <sheetData>
    <row r="1" spans="3:6" ht="15.75">
      <c r="C1" s="161" t="s">
        <v>1356</v>
      </c>
      <c r="D1" s="78"/>
      <c r="E1" s="78"/>
      <c r="F1" s="78"/>
    </row>
    <row r="2" spans="1:6" ht="12.75">
      <c r="A2" s="77"/>
      <c r="B2" s="77"/>
      <c r="C2" s="78"/>
      <c r="F2" s="78"/>
    </row>
    <row r="3" spans="1:22" ht="12.75">
      <c r="A3" s="77"/>
      <c r="B3" s="77"/>
      <c r="C3" s="78"/>
      <c r="D3" s="79" t="s">
        <v>1364</v>
      </c>
      <c r="E3" s="263">
        <f ca="1">TODAY()</f>
        <v>44925</v>
      </c>
      <c r="F3" s="263"/>
      <c r="G3">
        <v>1</v>
      </c>
      <c r="H3" t="s">
        <v>170</v>
      </c>
      <c r="J3" s="68" t="s">
        <v>1683</v>
      </c>
      <c r="K3">
        <f ca="1">DAY(TODAY())</f>
        <v>30</v>
      </c>
      <c r="M3" s="186" t="s">
        <v>1481</v>
      </c>
      <c r="N3" s="5">
        <v>3760</v>
      </c>
      <c r="O3" s="32" t="s">
        <v>2127</v>
      </c>
      <c r="R3" s="170" t="s">
        <v>7</v>
      </c>
      <c r="S3" s="171"/>
      <c r="T3" s="68" t="s">
        <v>186</v>
      </c>
      <c r="U3" s="68" t="s">
        <v>184</v>
      </c>
      <c r="V3" s="32" t="s">
        <v>61</v>
      </c>
    </row>
    <row r="4" spans="1:22" ht="12.75">
      <c r="A4" s="78"/>
      <c r="B4" s="78"/>
      <c r="E4" s="1">
        <f>V33</f>
      </c>
      <c r="G4">
        <v>2</v>
      </c>
      <c r="H4" t="s">
        <v>171</v>
      </c>
      <c r="J4" s="68" t="s">
        <v>1684</v>
      </c>
      <c r="K4">
        <f ca="1">MONTH(TODAY())</f>
        <v>12</v>
      </c>
      <c r="M4" s="186" t="s">
        <v>1482</v>
      </c>
      <c r="N4" s="5">
        <v>5509</v>
      </c>
      <c r="O4" s="32" t="s">
        <v>2127</v>
      </c>
      <c r="R4" s="172">
        <v>1</v>
      </c>
      <c r="S4" s="167" t="s">
        <v>1944</v>
      </c>
      <c r="T4">
        <v>8</v>
      </c>
      <c r="U4">
        <v>3</v>
      </c>
      <c r="V4" s="32" t="s">
        <v>46</v>
      </c>
    </row>
    <row r="5" spans="1:22" ht="12.75">
      <c r="A5" s="80"/>
      <c r="B5" s="80"/>
      <c r="D5" s="79" t="s">
        <v>1361</v>
      </c>
      <c r="E5" s="104">
        <f>K6-K7+1</f>
        <v>364</v>
      </c>
      <c r="F5" s="82"/>
      <c r="G5">
        <v>3</v>
      </c>
      <c r="H5" t="s">
        <v>172</v>
      </c>
      <c r="J5" s="68" t="s">
        <v>1685</v>
      </c>
      <c r="K5">
        <f ca="1">YEAR(TODAY())</f>
        <v>2022</v>
      </c>
      <c r="M5" s="68" t="s">
        <v>2152</v>
      </c>
      <c r="N5" s="5">
        <v>284</v>
      </c>
      <c r="O5" s="32" t="s">
        <v>2153</v>
      </c>
      <c r="R5" s="172">
        <v>2</v>
      </c>
      <c r="S5" s="167" t="s">
        <v>6</v>
      </c>
      <c r="T5">
        <v>12</v>
      </c>
      <c r="U5">
        <v>3</v>
      </c>
      <c r="V5" s="32" t="s">
        <v>64</v>
      </c>
    </row>
    <row r="6" spans="1:22" ht="12.75">
      <c r="A6" s="80"/>
      <c r="B6" s="80"/>
      <c r="C6" s="81"/>
      <c r="D6" s="79" t="s">
        <v>1358</v>
      </c>
      <c r="E6" s="105">
        <f ca="1">_XLL.NUM.DE.SEMANA(TODAY(),1)</f>
        <v>53</v>
      </c>
      <c r="F6" s="78"/>
      <c r="G6">
        <v>4</v>
      </c>
      <c r="H6" t="s">
        <v>173</v>
      </c>
      <c r="J6" s="68" t="s">
        <v>1362</v>
      </c>
      <c r="K6" s="72">
        <f>365*$K$5+31*($K$4-1)+$K$3+IF($K$4&lt;3,INT(($K$5-1)/4)-INT(INT(($K$5-1)/100+1)*0.75),INT($K$5/4)-INT(0.4*$K$4+2.3)-INT(INT(($K$5-1)/100+1)*0.75))</f>
        <v>738884</v>
      </c>
      <c r="R6" s="172">
        <v>3</v>
      </c>
      <c r="S6" s="167" t="s">
        <v>185</v>
      </c>
      <c r="T6">
        <v>24</v>
      </c>
      <c r="U6">
        <v>3</v>
      </c>
      <c r="V6" s="32" t="s">
        <v>446</v>
      </c>
    </row>
    <row r="7" spans="1:22" ht="12.75">
      <c r="A7" s="80"/>
      <c r="B7" s="80"/>
      <c r="C7" s="84"/>
      <c r="D7" s="86" t="s">
        <v>1360</v>
      </c>
      <c r="E7" s="106">
        <f>1721060+K6</f>
        <v>2459944</v>
      </c>
      <c r="F7" s="83"/>
      <c r="G7">
        <v>5</v>
      </c>
      <c r="H7" t="s">
        <v>174</v>
      </c>
      <c r="J7" s="76" t="s">
        <v>1363</v>
      </c>
      <c r="K7" s="72">
        <f>365*$K$5+1+INT(($K$5-1)/4)-INT(INT(($K$5-1)/100+1)*0.75)</f>
        <v>738521</v>
      </c>
      <c r="R7" s="172">
        <v>4</v>
      </c>
      <c r="S7" s="167" t="s">
        <v>5</v>
      </c>
      <c r="T7">
        <v>22</v>
      </c>
      <c r="U7">
        <v>4</v>
      </c>
      <c r="V7" s="32" t="s">
        <v>57</v>
      </c>
    </row>
    <row r="8" spans="1:22" ht="12.75">
      <c r="A8" s="80"/>
      <c r="B8" s="80"/>
      <c r="C8" s="85"/>
      <c r="D8" s="86" t="s">
        <v>1367</v>
      </c>
      <c r="E8" s="6">
        <f>MOD(K5,19)+1</f>
        <v>9</v>
      </c>
      <c r="F8" s="78"/>
      <c r="G8">
        <v>6</v>
      </c>
      <c r="H8" t="s">
        <v>175</v>
      </c>
      <c r="J8" s="68" t="s">
        <v>1369</v>
      </c>
      <c r="K8" s="72">
        <f>IF(MOD($K$5,400)=0,1,IF(AND(MOD($K$5,100)&lt;&gt;0,MOD($K$5,4)=0),1,0))</f>
        <v>0</v>
      </c>
      <c r="M8" s="68" t="s">
        <v>1</v>
      </c>
      <c r="N8">
        <f>INT(1.03125*(K5-622))</f>
        <v>1443</v>
      </c>
      <c r="R8" s="172">
        <v>5</v>
      </c>
      <c r="S8" s="167" t="s">
        <v>4</v>
      </c>
      <c r="T8">
        <v>29</v>
      </c>
      <c r="U8">
        <v>4</v>
      </c>
      <c r="V8" s="32" t="s">
        <v>49</v>
      </c>
    </row>
    <row r="9" spans="1:22" ht="12.75">
      <c r="A9" s="78"/>
      <c r="B9" s="78"/>
      <c r="C9" s="87"/>
      <c r="D9" s="96" t="s">
        <v>1368</v>
      </c>
      <c r="E9" s="6">
        <f>IF(MOD(K5+3,15)=0,15,MOD(K5+3,15))</f>
        <v>15</v>
      </c>
      <c r="F9" s="81"/>
      <c r="G9">
        <v>7</v>
      </c>
      <c r="H9" t="s">
        <v>176</v>
      </c>
      <c r="Q9" s="5"/>
      <c r="R9" s="172">
        <v>6</v>
      </c>
      <c r="S9" s="167" t="s">
        <v>3</v>
      </c>
      <c r="T9">
        <v>1</v>
      </c>
      <c r="U9">
        <v>5</v>
      </c>
      <c r="V9" s="32" t="s">
        <v>44</v>
      </c>
    </row>
    <row r="10" spans="1:22" ht="12.75">
      <c r="A10" s="78"/>
      <c r="B10" s="78"/>
      <c r="C10" s="88"/>
      <c r="D10" s="79" t="s">
        <v>1370</v>
      </c>
      <c r="E10" s="107" t="str">
        <f>VLOOKUP(E5+IF(AND(E5&gt;59,K8=0),1,0),Santoral!$A$5:$C$370,3)</f>
        <v>S. Sabino</v>
      </c>
      <c r="F10" s="78"/>
      <c r="M10" s="39"/>
      <c r="Q10" s="5"/>
      <c r="R10" s="173">
        <v>7</v>
      </c>
      <c r="S10" s="169" t="s">
        <v>2</v>
      </c>
      <c r="T10">
        <v>11</v>
      </c>
      <c r="U10">
        <v>5</v>
      </c>
      <c r="V10" s="32" t="s">
        <v>62</v>
      </c>
    </row>
    <row r="11" spans="1:22" ht="12.75">
      <c r="A11" s="78"/>
      <c r="B11" s="78"/>
      <c r="C11" s="78"/>
      <c r="D11" s="68" t="s">
        <v>8</v>
      </c>
      <c r="E11" s="6" t="str">
        <f ca="1">VLOOKUP(WEEKDAY(DATE(YEAR(TODAY()),1,1)),$R$4:$S$10,2)</f>
        <v>B</v>
      </c>
      <c r="F11" s="88"/>
      <c r="I11" s="68" t="s">
        <v>1688</v>
      </c>
      <c r="J11" s="99">
        <v>15</v>
      </c>
      <c r="K11" s="99">
        <v>10</v>
      </c>
      <c r="L11" s="99">
        <v>1582</v>
      </c>
      <c r="M11" s="68" t="s">
        <v>1689</v>
      </c>
      <c r="N11" s="39">
        <f>365*$L$11+31*($K$11-1)+$J$11+IF($K$11&lt;3,INT(($L$11-1)/4)-INT(INT(($L$11-1)/100+1)*0.75),INT($L$11/4)-INT(0.4*$K$11+2.3)-INT(INT(($L$11-1)/100+1)*0.75))</f>
        <v>578101</v>
      </c>
      <c r="T11">
        <v>18</v>
      </c>
      <c r="U11">
        <v>5</v>
      </c>
      <c r="V11" s="32" t="s">
        <v>430</v>
      </c>
    </row>
    <row r="12" spans="6:22" ht="12.75">
      <c r="F12" s="78"/>
      <c r="L12" s="68" t="s">
        <v>1690</v>
      </c>
      <c r="M12" s="68" t="s">
        <v>1691</v>
      </c>
      <c r="N12" s="98">
        <f>1721060+N11</f>
        <v>2299161</v>
      </c>
      <c r="R12" s="164"/>
      <c r="S12" s="165" t="s">
        <v>2144</v>
      </c>
      <c r="T12">
        <v>25</v>
      </c>
      <c r="U12">
        <v>5</v>
      </c>
      <c r="V12" s="32" t="s">
        <v>52</v>
      </c>
    </row>
    <row r="13" spans="4:22" ht="12.75">
      <c r="D13" s="79" t="s">
        <v>1365</v>
      </c>
      <c r="E13" s="185">
        <f ca="1">TODAY()-$P$19</f>
        <v>44912</v>
      </c>
      <c r="J13" s="68" t="s">
        <v>1686</v>
      </c>
      <c r="K13" s="99">
        <v>2000</v>
      </c>
      <c r="L13" s="5">
        <f>MOD(K13,19)+1</f>
        <v>6</v>
      </c>
      <c r="R13" s="166">
        <f>DATE(YEAR($K$5),1,1)</f>
        <v>1828</v>
      </c>
      <c r="S13" s="167" t="s">
        <v>2141</v>
      </c>
      <c r="T13">
        <v>29</v>
      </c>
      <c r="U13">
        <v>5</v>
      </c>
      <c r="V13" s="97" t="s">
        <v>63</v>
      </c>
    </row>
    <row r="14" spans="3:22" ht="12.75">
      <c r="C14" s="78"/>
      <c r="D14" s="78"/>
      <c r="E14" s="78"/>
      <c r="F14" s="78"/>
      <c r="J14" s="68" t="s">
        <v>1687</v>
      </c>
      <c r="K14" s="99">
        <v>2000</v>
      </c>
      <c r="L14" s="5">
        <f>IF(MOD(K14+3,15)=0,15,MOD(K14+3,15))</f>
        <v>8</v>
      </c>
      <c r="N14" s="164" t="s">
        <v>1377</v>
      </c>
      <c r="O14" s="184"/>
      <c r="P14" s="171"/>
      <c r="R14" s="166">
        <f>DATE(YEAR($K$5),1,21)</f>
        <v>1848</v>
      </c>
      <c r="S14" s="167" t="s">
        <v>2142</v>
      </c>
      <c r="T14">
        <v>7</v>
      </c>
      <c r="U14">
        <v>6</v>
      </c>
      <c r="V14" s="32" t="s">
        <v>56</v>
      </c>
    </row>
    <row r="15" spans="1:22" ht="12.75">
      <c r="A15" s="77"/>
      <c r="B15" s="77"/>
      <c r="J15" s="68" t="s">
        <v>7</v>
      </c>
      <c r="K15" s="127">
        <v>42036</v>
      </c>
      <c r="L15" s="163" t="str">
        <f>VLOOKUP(WEEKDAY(DATE(YEAR(K15),1,1)),$R$4:$S$10,2)</f>
        <v>D</v>
      </c>
      <c r="N15" s="188" t="s">
        <v>1943</v>
      </c>
      <c r="O15" s="190" t="s">
        <v>1944</v>
      </c>
      <c r="P15" s="187" t="s">
        <v>1483</v>
      </c>
      <c r="R15" s="166">
        <f>DATE(YEAR($K$5),2,20)</f>
        <v>1878</v>
      </c>
      <c r="S15" s="167" t="s">
        <v>2143</v>
      </c>
      <c r="T15">
        <v>20</v>
      </c>
      <c r="U15">
        <v>6</v>
      </c>
      <c r="V15" s="32" t="s">
        <v>48</v>
      </c>
    </row>
    <row r="16" spans="1:22" ht="12.75">
      <c r="A16" s="80"/>
      <c r="B16" s="80"/>
      <c r="C16" s="89"/>
      <c r="D16" s="68" t="s">
        <v>2145</v>
      </c>
      <c r="E16" s="6" t="str">
        <f>ROMAN(K5)</f>
        <v>MMXXII</v>
      </c>
      <c r="J16" s="68" t="s">
        <v>2128</v>
      </c>
      <c r="K16" s="127">
        <v>41278</v>
      </c>
      <c r="L16" s="162">
        <f>YEAR(K16)+753</f>
        <v>2766</v>
      </c>
      <c r="N16" s="193" t="s">
        <v>1378</v>
      </c>
      <c r="O16" s="194" t="s">
        <v>1373</v>
      </c>
      <c r="P16" s="195">
        <v>10</v>
      </c>
      <c r="R16" s="166">
        <f>DATE(YEAR($K$5),3,21)</f>
        <v>1907</v>
      </c>
      <c r="S16" s="167" t="s">
        <v>2132</v>
      </c>
      <c r="T16">
        <v>7</v>
      </c>
      <c r="U16">
        <v>7</v>
      </c>
      <c r="V16" s="32" t="s">
        <v>54</v>
      </c>
    </row>
    <row r="17" spans="1:22" ht="12.75">
      <c r="A17" s="92"/>
      <c r="B17" s="92"/>
      <c r="C17" s="78"/>
      <c r="E17" s="5"/>
      <c r="F17" s="78"/>
      <c r="J17" s="68" t="s">
        <v>2129</v>
      </c>
      <c r="K17" s="127">
        <v>41643</v>
      </c>
      <c r="L17" s="43">
        <f>IF(K17&lt;=DATE(YEAR(K17),9,20),$N$3+YEAR(K17),$N$3+1+YEAR(K17))</f>
        <v>5774</v>
      </c>
      <c r="N17" s="189" t="s">
        <v>1374</v>
      </c>
      <c r="O17" s="190" t="s">
        <v>1375</v>
      </c>
      <c r="P17" s="187">
        <v>11</v>
      </c>
      <c r="R17" s="166">
        <f>DATE(YEAR($K$5),4,21)</f>
        <v>1938</v>
      </c>
      <c r="S17" s="167" t="s">
        <v>2133</v>
      </c>
      <c r="T17">
        <v>9</v>
      </c>
      <c r="U17">
        <v>7</v>
      </c>
      <c r="V17" s="32" t="s">
        <v>53</v>
      </c>
    </row>
    <row r="18" spans="1:22" ht="12.75">
      <c r="A18" s="79"/>
      <c r="B18" s="79"/>
      <c r="D18" s="79" t="s">
        <v>2146</v>
      </c>
      <c r="E18" s="105">
        <f ca="1">YEAR(TODAY())+753</f>
        <v>2775</v>
      </c>
      <c r="F18" s="78"/>
      <c r="J18" s="68" t="s">
        <v>2130</v>
      </c>
      <c r="K18" s="127">
        <v>41643</v>
      </c>
      <c r="L18" s="5">
        <f>INT(1.03125*(YEAR(K18)-622))</f>
        <v>1435</v>
      </c>
      <c r="N18" s="189" t="s">
        <v>1376</v>
      </c>
      <c r="O18" s="191">
        <v>59</v>
      </c>
      <c r="P18" s="187">
        <v>12</v>
      </c>
      <c r="R18" s="166">
        <f>DATE(YEAR($K$5),5,22)</f>
        <v>1969</v>
      </c>
      <c r="S18" s="167" t="s">
        <v>2135</v>
      </c>
      <c r="T18">
        <v>20</v>
      </c>
      <c r="U18">
        <v>7</v>
      </c>
      <c r="V18" s="32" t="s">
        <v>51</v>
      </c>
    </row>
    <row r="19" spans="1:22" ht="12.75">
      <c r="A19" s="32"/>
      <c r="B19" s="32"/>
      <c r="C19" s="154"/>
      <c r="D19" s="90"/>
      <c r="E19" s="91"/>
      <c r="F19" s="154"/>
      <c r="I19" s="63"/>
      <c r="J19" s="68" t="s">
        <v>2131</v>
      </c>
      <c r="K19" s="127">
        <v>42008</v>
      </c>
      <c r="L19" s="43">
        <f>IF(K19&lt;DATE(YEAR(K19),9,1),$N$4-1+YEAR(K19),$N$4+YEAR(K19))</f>
        <v>7523</v>
      </c>
      <c r="N19" s="192" t="s">
        <v>1379</v>
      </c>
      <c r="O19" s="191">
        <v>73109</v>
      </c>
      <c r="P19" s="187">
        <v>13</v>
      </c>
      <c r="R19" s="166">
        <f>DATE(YEAR($K$5),6,22)</f>
        <v>2000</v>
      </c>
      <c r="S19" s="167" t="s">
        <v>2134</v>
      </c>
      <c r="T19">
        <v>6</v>
      </c>
      <c r="U19">
        <v>8</v>
      </c>
      <c r="V19" s="32" t="s">
        <v>55</v>
      </c>
    </row>
    <row r="20" spans="1:22" ht="12.75">
      <c r="A20" s="2"/>
      <c r="B20" s="2"/>
      <c r="C20" s="160"/>
      <c r="D20" s="68" t="s">
        <v>2147</v>
      </c>
      <c r="E20" s="6">
        <f ca="1">IF(TODAY()&lt;=DATE(YEAR(TODAY()),9,20),$N$3+YEAR(TODAY()),$N$3+1+YEAR(TODAY()))</f>
        <v>5783</v>
      </c>
      <c r="F20" s="32"/>
      <c r="J20" s="68" t="s">
        <v>2151</v>
      </c>
      <c r="K20" s="127">
        <v>42342</v>
      </c>
      <c r="L20" s="43">
        <f>IF(K20&lt;DATE(YEAR(K20),9,11),YEAR(K20)-$N$5,YEAR(K20)-$N$5+1)</f>
        <v>1732</v>
      </c>
      <c r="N20" s="196" t="s">
        <v>1380</v>
      </c>
      <c r="O20" s="197">
        <v>109633</v>
      </c>
      <c r="P20" s="198">
        <v>14</v>
      </c>
      <c r="R20" s="166">
        <f>DATE(YEAR($K$5),7,23)</f>
        <v>2031</v>
      </c>
      <c r="S20" s="167" t="s">
        <v>2136</v>
      </c>
      <c r="T20">
        <v>17</v>
      </c>
      <c r="U20">
        <v>8</v>
      </c>
      <c r="V20" s="32" t="s">
        <v>447</v>
      </c>
    </row>
    <row r="21" spans="1:22" ht="12.75">
      <c r="A21" s="32"/>
      <c r="B21" s="32"/>
      <c r="C21" s="32"/>
      <c r="D21" s="32"/>
      <c r="E21" s="43"/>
      <c r="F21" s="32"/>
      <c r="R21" s="166">
        <f>DATE(YEAR($K$5),8,23)</f>
        <v>2062</v>
      </c>
      <c r="S21" s="167" t="s">
        <v>2137</v>
      </c>
      <c r="T21">
        <v>29</v>
      </c>
      <c r="U21">
        <v>8</v>
      </c>
      <c r="V21" s="32" t="s">
        <v>58</v>
      </c>
    </row>
    <row r="22" spans="1:22" ht="12.75">
      <c r="A22" s="32"/>
      <c r="B22" s="32"/>
      <c r="C22" s="32"/>
      <c r="D22" s="79" t="s">
        <v>2148</v>
      </c>
      <c r="E22" s="105" t="str">
        <f>N8&amp;"/"&amp;N8+1</f>
        <v>1443/1444</v>
      </c>
      <c r="F22" s="32"/>
      <c r="R22" s="166">
        <f>DATE(YEAR($K$5),9,23)</f>
        <v>2093</v>
      </c>
      <c r="S22" s="167" t="s">
        <v>2138</v>
      </c>
      <c r="T22">
        <v>11</v>
      </c>
      <c r="U22">
        <v>9</v>
      </c>
      <c r="V22" s="32" t="s">
        <v>50</v>
      </c>
    </row>
    <row r="23" spans="1:22" ht="12.75">
      <c r="A23" s="79"/>
      <c r="B23" s="79"/>
      <c r="C23" s="68"/>
      <c r="D23" s="32"/>
      <c r="E23" s="43"/>
      <c r="F23" s="32"/>
      <c r="H23" t="s">
        <v>1015</v>
      </c>
      <c r="R23" s="166">
        <f>DATE(YEAR($K$5),10,23)</f>
        <v>2123</v>
      </c>
      <c r="S23" s="167" t="s">
        <v>2139</v>
      </c>
      <c r="T23">
        <v>21</v>
      </c>
      <c r="U23">
        <v>9</v>
      </c>
      <c r="V23" s="32" t="s">
        <v>43</v>
      </c>
    </row>
    <row r="24" spans="1:22" ht="12.75">
      <c r="A24" s="79"/>
      <c r="B24" s="79"/>
      <c r="C24" s="157"/>
      <c r="D24" s="79" t="s">
        <v>2149</v>
      </c>
      <c r="E24" s="6">
        <f ca="1">IF(TODAY()&lt;DATE(YEAR(TODAY()),9,1),$N$4-1+YEAR(TODAY()),$N$4+YEAR(TODAY()))</f>
        <v>7531</v>
      </c>
      <c r="F24" s="32"/>
      <c r="H24" t="s">
        <v>1016</v>
      </c>
      <c r="R24" s="166">
        <f>DATE(YEAR($K$5),11,23)</f>
        <v>2154</v>
      </c>
      <c r="S24" s="167" t="s">
        <v>2140</v>
      </c>
      <c r="T24">
        <v>12</v>
      </c>
      <c r="U24">
        <v>10</v>
      </c>
      <c r="V24" s="32" t="s">
        <v>45</v>
      </c>
    </row>
    <row r="25" spans="1:22" ht="12.75">
      <c r="A25" s="79"/>
      <c r="B25" s="79"/>
      <c r="C25" s="157"/>
      <c r="D25" s="158"/>
      <c r="E25" s="43"/>
      <c r="F25" s="32"/>
      <c r="G25" s="68"/>
      <c r="H25" t="s">
        <v>1017</v>
      </c>
      <c r="R25" s="168">
        <f>DATE(YEAR($K$5),12,22)</f>
        <v>2183</v>
      </c>
      <c r="S25" s="169" t="s">
        <v>2141</v>
      </c>
      <c r="T25">
        <v>10</v>
      </c>
      <c r="U25">
        <v>11</v>
      </c>
      <c r="V25" s="32" t="s">
        <v>47</v>
      </c>
    </row>
    <row r="26" spans="1:22" ht="12.75">
      <c r="A26" s="79"/>
      <c r="B26" s="79"/>
      <c r="C26" s="157"/>
      <c r="D26" s="79" t="s">
        <v>0</v>
      </c>
      <c r="E26" s="6">
        <f ca="1">IF(TODAY()&lt;DATE(YEAR(TODAY()),9,11),YEAR(TODAY())-$N$5,YEAR(TODAY())-$N$5+1)</f>
        <v>1739</v>
      </c>
      <c r="F26" s="32"/>
      <c r="H26" t="s">
        <v>1018</v>
      </c>
      <c r="T26">
        <v>20</v>
      </c>
      <c r="U26">
        <v>11</v>
      </c>
      <c r="V26" s="32" t="s">
        <v>445</v>
      </c>
    </row>
    <row r="27" spans="1:8" ht="12.75">
      <c r="A27" s="79"/>
      <c r="B27" s="79"/>
      <c r="C27" s="155"/>
      <c r="E27" s="5"/>
      <c r="F27" s="159"/>
      <c r="H27" t="s">
        <v>1019</v>
      </c>
    </row>
    <row r="28" spans="1:6" ht="12.75">
      <c r="A28" s="32"/>
      <c r="B28" s="32"/>
      <c r="C28" s="156"/>
      <c r="D28" s="32"/>
      <c r="E28" s="43"/>
      <c r="F28" s="32"/>
    </row>
    <row r="29" spans="1:18" ht="12.75">
      <c r="A29" s="32"/>
      <c r="B29" s="32"/>
      <c r="C29" s="32"/>
      <c r="D29" s="68" t="s">
        <v>2150</v>
      </c>
      <c r="E29" s="6" t="str">
        <f ca="1">VLOOKUP(TODAY(),R13:S25,2,TRUE)</f>
        <v>Capricornio</v>
      </c>
      <c r="F29" s="32"/>
      <c r="I29" s="4">
        <v>36526</v>
      </c>
      <c r="J29" s="101">
        <f>I29</f>
        <v>36526</v>
      </c>
      <c r="M29" s="1" t="s">
        <v>1475</v>
      </c>
      <c r="N29">
        <f>J29+5.5968</f>
        <v>36531.5968</v>
      </c>
      <c r="O29" t="s">
        <v>1476</v>
      </c>
      <c r="P29" s="164" t="s">
        <v>1479</v>
      </c>
      <c r="Q29" s="184"/>
      <c r="R29" s="171"/>
    </row>
    <row r="30" spans="1:18" ht="12.75">
      <c r="A30" s="32"/>
      <c r="B30" s="32"/>
      <c r="C30" s="32"/>
      <c r="D30" s="68" t="s">
        <v>1480</v>
      </c>
      <c r="E30" s="6" t="str">
        <f>VLOOKUP(N31,$P$30:$Q$33,2,TRUE)</f>
        <v>Cuarto creciente</v>
      </c>
      <c r="F30" s="32"/>
      <c r="M30" s="1" t="s">
        <v>1474</v>
      </c>
      <c r="N30">
        <v>29.5305912</v>
      </c>
      <c r="P30" s="172">
        <v>0</v>
      </c>
      <c r="Q30" s="38" t="s">
        <v>1470</v>
      </c>
      <c r="R30" s="182"/>
    </row>
    <row r="31" spans="1:18" ht="12.75">
      <c r="A31" s="32"/>
      <c r="B31" s="32"/>
      <c r="C31" s="32"/>
      <c r="D31" s="68" t="s">
        <v>970</v>
      </c>
      <c r="E31" s="253">
        <f>N30*N31</f>
        <v>7.5148263790712795</v>
      </c>
      <c r="F31" s="32"/>
      <c r="J31" s="1" t="s">
        <v>1478</v>
      </c>
      <c r="K31" s="101">
        <f>$N$29-0.04166666*3</f>
        <v>36531.47180002</v>
      </c>
      <c r="M31" s="1" t="s">
        <v>1477</v>
      </c>
      <c r="N31">
        <f ca="1">(NOW()-$K$31)/$N$30-INT((NOW()-$K$31)/$N$30)</f>
        <v>0.25447598824473516</v>
      </c>
      <c r="P31" s="172">
        <v>0.25</v>
      </c>
      <c r="Q31" s="38" t="s">
        <v>1471</v>
      </c>
      <c r="R31" s="182"/>
    </row>
    <row r="32" spans="1:24" ht="12.75">
      <c r="A32" s="32"/>
      <c r="B32" s="32"/>
      <c r="C32" s="32"/>
      <c r="D32" s="32"/>
      <c r="E32" s="32"/>
      <c r="F32" s="32"/>
      <c r="J32" s="127">
        <v>42033</v>
      </c>
      <c r="M32" s="68" t="s">
        <v>434</v>
      </c>
      <c r="N32">
        <f>(J32-$K$31)/$N$30-INT((J32-$K$31)/$N$30)</f>
        <v>0.2992908851753384</v>
      </c>
      <c r="P32" s="172">
        <v>0.5</v>
      </c>
      <c r="Q32" s="38" t="s">
        <v>1472</v>
      </c>
      <c r="R32" s="182"/>
      <c r="T32" s="68" t="s">
        <v>186</v>
      </c>
      <c r="U32" s="68" t="s">
        <v>184</v>
      </c>
      <c r="V32" t="e">
        <f>DGET(T3:V26,3,T32:U33)</f>
        <v>#VALUE!</v>
      </c>
      <c r="W32" s="114"/>
      <c r="X32" s="114"/>
    </row>
    <row r="33" spans="1:22" ht="12.75">
      <c r="A33" s="32"/>
      <c r="B33" s="32"/>
      <c r="C33" s="32"/>
      <c r="D33" s="32"/>
      <c r="E33" s="32"/>
      <c r="F33" s="32"/>
      <c r="K33" s="4"/>
      <c r="N33" t="str">
        <f>VLOOKUP(N32,$P$30:$Q$33,2,TRUE)</f>
        <v>Cuarto creciente</v>
      </c>
      <c r="P33" s="173">
        <v>0.75</v>
      </c>
      <c r="Q33" s="137" t="s">
        <v>1473</v>
      </c>
      <c r="R33" s="183"/>
      <c r="T33">
        <f>K3</f>
        <v>30</v>
      </c>
      <c r="U33">
        <f>K4</f>
        <v>12</v>
      </c>
      <c r="V33" s="174">
        <f>IF(TYPE(V32)=16,"",V32)</f>
      </c>
    </row>
    <row r="34" spans="1:6" ht="12.75">
      <c r="A34" s="32"/>
      <c r="B34" s="32"/>
      <c r="C34" s="32"/>
      <c r="D34" s="32"/>
      <c r="E34" s="32"/>
      <c r="F34" s="32"/>
    </row>
    <row r="35" spans="1:6" ht="12.75">
      <c r="A35" s="32"/>
      <c r="B35" s="32"/>
      <c r="C35" s="32"/>
      <c r="D35" s="32"/>
      <c r="E35" s="32"/>
      <c r="F35" s="32"/>
    </row>
    <row r="36" spans="1:6" ht="12.75">
      <c r="A36" s="32"/>
      <c r="B36" s="32"/>
      <c r="C36" s="32"/>
      <c r="D36" s="32"/>
      <c r="E36" s="32"/>
      <c r="F36" s="32"/>
    </row>
    <row r="37" spans="1:6" ht="12.75">
      <c r="A37" s="32"/>
      <c r="B37" s="32"/>
      <c r="C37" s="32"/>
      <c r="D37" s="32"/>
      <c r="E37" s="32"/>
      <c r="F37" s="32"/>
    </row>
    <row r="38" spans="1:6" ht="12.75">
      <c r="A38" s="32"/>
      <c r="B38" s="32"/>
      <c r="C38" s="32"/>
      <c r="D38" s="32"/>
      <c r="E38" s="32"/>
      <c r="F38" s="32"/>
    </row>
    <row r="39" spans="1:6" ht="12.75">
      <c r="A39" s="32"/>
      <c r="B39" s="32"/>
      <c r="C39" s="32"/>
      <c r="D39" s="32"/>
      <c r="E39" s="32"/>
      <c r="F39" s="32"/>
    </row>
    <row r="40" spans="1:6" ht="12.75">
      <c r="A40" s="32"/>
      <c r="B40" s="32"/>
      <c r="C40" s="32"/>
      <c r="D40" s="32"/>
      <c r="E40" s="32"/>
      <c r="F40" s="32"/>
    </row>
    <row r="41" spans="1:6" ht="12.75">
      <c r="A41" s="32"/>
      <c r="B41" s="32"/>
      <c r="C41" s="32"/>
      <c r="D41" s="32"/>
      <c r="E41" s="32"/>
      <c r="F41" s="32"/>
    </row>
    <row r="42" spans="1:6" ht="12.75">
      <c r="A42" s="32"/>
      <c r="B42" s="32"/>
      <c r="C42" s="32"/>
      <c r="D42" s="32"/>
      <c r="E42" s="32"/>
      <c r="F42" s="32"/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/>
      <c r="B44" s="32"/>
      <c r="C44" s="32"/>
      <c r="D44" s="32"/>
      <c r="E44" s="32"/>
      <c r="F44" s="32"/>
    </row>
    <row r="45" spans="1:6" ht="12.75">
      <c r="A45" s="32"/>
      <c r="B45" s="32"/>
      <c r="C45" s="32"/>
      <c r="D45" s="32"/>
      <c r="E45" s="32"/>
      <c r="F45" s="32"/>
    </row>
    <row r="46" spans="1:6" ht="12.75">
      <c r="A46" s="32"/>
      <c r="B46" s="32"/>
      <c r="C46" s="32"/>
      <c r="D46" s="32"/>
      <c r="E46" s="32"/>
      <c r="F46" s="32"/>
    </row>
    <row r="47" spans="1:6" ht="12.75">
      <c r="A47" s="32"/>
      <c r="B47" s="32"/>
      <c r="C47" s="32"/>
      <c r="D47" s="32"/>
      <c r="E47" s="32"/>
      <c r="F47" s="32"/>
    </row>
    <row r="48" spans="1:6" ht="12.75">
      <c r="A48" s="32"/>
      <c r="B48" s="32"/>
      <c r="C48" s="32"/>
      <c r="D48" s="32"/>
      <c r="E48" s="32"/>
      <c r="F48" s="32"/>
    </row>
  </sheetData>
  <sheetProtection sheet="1"/>
  <mergeCells count="1">
    <mergeCell ref="E3:F3"/>
  </mergeCells>
  <printOptions/>
  <pageMargins left="1.141732283464567" right="0.7480314960629921" top="0.984251968503937" bottom="0.984251968503937" header="0" footer="0"/>
  <pageSetup horizontalDpi="120" verticalDpi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2"/>
  <sheetViews>
    <sheetView showRowColHeaders="0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11.421875" defaultRowHeight="12.75"/>
  <cols>
    <col min="1" max="1" width="4.7109375" style="0" hidden="1" customWidth="1"/>
    <col min="2" max="2" width="8.7109375" style="0" customWidth="1"/>
    <col min="3" max="3" width="30.7109375" style="0" customWidth="1"/>
    <col min="4" max="4" width="35.7109375" style="35" customWidth="1"/>
  </cols>
  <sheetData>
    <row r="1" ht="12.75">
      <c r="B1" s="2" t="s">
        <v>1755</v>
      </c>
    </row>
    <row r="2" spans="2:4" ht="12.75">
      <c r="B2" s="97" t="s">
        <v>1706</v>
      </c>
      <c r="C2" s="37"/>
      <c r="D2" s="37"/>
    </row>
    <row r="4" spans="3:5" ht="12.75">
      <c r="C4" t="s">
        <v>1023</v>
      </c>
      <c r="D4" s="108" t="s">
        <v>1710</v>
      </c>
      <c r="E4" t="s">
        <v>1045</v>
      </c>
    </row>
    <row r="5" spans="1:9" ht="12.75">
      <c r="A5">
        <v>1</v>
      </c>
      <c r="B5" s="49">
        <v>39448</v>
      </c>
      <c r="C5" s="32" t="s">
        <v>1692</v>
      </c>
      <c r="D5" s="108" t="s">
        <v>1746</v>
      </c>
      <c r="E5" t="s">
        <v>1109</v>
      </c>
      <c r="H5" s="35"/>
      <c r="I5" s="35"/>
    </row>
    <row r="6" spans="1:9" ht="12.75">
      <c r="A6">
        <v>2</v>
      </c>
      <c r="B6" s="49">
        <v>39449</v>
      </c>
      <c r="C6" s="37" t="s">
        <v>1089</v>
      </c>
      <c r="H6" s="35"/>
      <c r="I6" s="35"/>
    </row>
    <row r="7" spans="1:9" ht="12.75">
      <c r="A7">
        <v>3</v>
      </c>
      <c r="B7" s="49">
        <v>39450</v>
      </c>
      <c r="C7" s="97" t="s">
        <v>1696</v>
      </c>
      <c r="D7" s="108"/>
      <c r="H7" s="35"/>
      <c r="I7" s="35"/>
    </row>
    <row r="8" spans="1:9" ht="12.75">
      <c r="A8">
        <v>4</v>
      </c>
      <c r="B8" s="49">
        <v>39451</v>
      </c>
      <c r="C8" s="37" t="s">
        <v>1371</v>
      </c>
      <c r="H8" s="35"/>
      <c r="I8" s="35"/>
    </row>
    <row r="9" spans="1:9" ht="12.75">
      <c r="A9">
        <v>5</v>
      </c>
      <c r="B9" s="49">
        <v>39452</v>
      </c>
      <c r="C9" s="37" t="s">
        <v>1372</v>
      </c>
      <c r="H9" s="35"/>
      <c r="I9" s="35"/>
    </row>
    <row r="10" spans="1:9" ht="12.75">
      <c r="A10">
        <v>6</v>
      </c>
      <c r="B10" s="49">
        <v>39453</v>
      </c>
      <c r="C10" t="s">
        <v>1090</v>
      </c>
      <c r="E10" t="s">
        <v>1191</v>
      </c>
      <c r="H10" s="35"/>
      <c r="I10" s="35"/>
    </row>
    <row r="11" spans="1:9" ht="12.75">
      <c r="A11">
        <v>7</v>
      </c>
      <c r="B11" s="49">
        <v>39454</v>
      </c>
      <c r="C11" s="37" t="s">
        <v>1381</v>
      </c>
      <c r="H11" s="35"/>
      <c r="I11" s="35"/>
    </row>
    <row r="12" spans="1:9" ht="12.75">
      <c r="A12">
        <v>8</v>
      </c>
      <c r="B12" s="49">
        <v>39455</v>
      </c>
      <c r="C12" s="37" t="s">
        <v>1382</v>
      </c>
      <c r="H12" s="35"/>
      <c r="I12" s="35"/>
    </row>
    <row r="13" spans="1:9" ht="12.75">
      <c r="A13">
        <v>9</v>
      </c>
      <c r="B13" s="49">
        <v>39456</v>
      </c>
      <c r="C13" s="37" t="s">
        <v>1383</v>
      </c>
      <c r="H13" s="35"/>
      <c r="I13" s="35"/>
    </row>
    <row r="14" spans="1:9" ht="12.75">
      <c r="A14">
        <v>10</v>
      </c>
      <c r="B14" s="49">
        <v>39457</v>
      </c>
      <c r="C14" s="37" t="s">
        <v>1384</v>
      </c>
      <c r="H14" s="35"/>
      <c r="I14" s="35"/>
    </row>
    <row r="15" spans="1:9" ht="12.75">
      <c r="A15">
        <v>11</v>
      </c>
      <c r="B15" s="49">
        <v>39458</v>
      </c>
      <c r="C15" s="37" t="s">
        <v>1385</v>
      </c>
      <c r="H15" s="35"/>
      <c r="I15" s="35"/>
    </row>
    <row r="16" spans="1:9" ht="12.75">
      <c r="A16">
        <v>12</v>
      </c>
      <c r="B16" s="49">
        <v>39459</v>
      </c>
      <c r="C16" s="37" t="s">
        <v>1386</v>
      </c>
      <c r="H16" s="35"/>
      <c r="I16" s="35"/>
    </row>
    <row r="17" spans="1:9" ht="12.75">
      <c r="A17">
        <v>13</v>
      </c>
      <c r="B17" s="49">
        <v>39460</v>
      </c>
      <c r="C17" s="37" t="s">
        <v>1387</v>
      </c>
      <c r="H17" s="35"/>
      <c r="I17" s="35"/>
    </row>
    <row r="18" spans="1:9" ht="12.75">
      <c r="A18">
        <v>14</v>
      </c>
      <c r="B18" s="49">
        <v>39461</v>
      </c>
      <c r="C18" t="s">
        <v>1388</v>
      </c>
      <c r="H18" s="35"/>
      <c r="I18" s="35"/>
    </row>
    <row r="19" spans="1:9" ht="12.75">
      <c r="A19">
        <v>15</v>
      </c>
      <c r="B19" s="49">
        <v>39462</v>
      </c>
      <c r="C19" t="s">
        <v>1389</v>
      </c>
      <c r="H19" s="35"/>
      <c r="I19" s="35"/>
    </row>
    <row r="20" spans="1:9" ht="12.75">
      <c r="A20">
        <v>16</v>
      </c>
      <c r="B20" s="49">
        <v>39463</v>
      </c>
      <c r="C20" t="s">
        <v>1390</v>
      </c>
      <c r="H20" s="35"/>
      <c r="I20" s="35"/>
    </row>
    <row r="21" spans="1:9" ht="12.75">
      <c r="A21">
        <v>17</v>
      </c>
      <c r="B21" s="49">
        <v>39464</v>
      </c>
      <c r="C21" s="32" t="s">
        <v>1704</v>
      </c>
      <c r="D21" s="108"/>
      <c r="H21" s="35"/>
      <c r="I21" s="35"/>
    </row>
    <row r="22" spans="1:9" ht="12.75">
      <c r="A22">
        <v>18</v>
      </c>
      <c r="B22" s="49">
        <v>39465</v>
      </c>
      <c r="C22" s="108" t="s">
        <v>1091</v>
      </c>
      <c r="D22" s="108"/>
      <c r="H22" s="108"/>
      <c r="I22" s="35"/>
    </row>
    <row r="23" spans="1:9" ht="12.75">
      <c r="A23">
        <v>19</v>
      </c>
      <c r="B23" s="49">
        <v>39466</v>
      </c>
      <c r="C23" s="35" t="s">
        <v>1391</v>
      </c>
      <c r="H23" s="35"/>
      <c r="I23" s="35"/>
    </row>
    <row r="24" spans="1:9" ht="12.75">
      <c r="A24">
        <v>20</v>
      </c>
      <c r="B24" s="49">
        <v>39467</v>
      </c>
      <c r="C24" t="s">
        <v>1392</v>
      </c>
      <c r="H24" s="35"/>
      <c r="I24" s="35"/>
    </row>
    <row r="25" spans="1:9" ht="12.75">
      <c r="A25">
        <v>21</v>
      </c>
      <c r="B25" s="49">
        <v>39468</v>
      </c>
      <c r="C25" s="32" t="s">
        <v>1697</v>
      </c>
      <c r="D25" s="108"/>
      <c r="H25" s="35"/>
      <c r="I25" s="35"/>
    </row>
    <row r="26" spans="1:9" ht="12.75">
      <c r="A26">
        <v>22</v>
      </c>
      <c r="B26" s="49">
        <v>39469</v>
      </c>
      <c r="C26" t="s">
        <v>1393</v>
      </c>
      <c r="H26" s="35"/>
      <c r="I26" s="35"/>
    </row>
    <row r="27" spans="1:9" ht="12.75">
      <c r="A27">
        <v>23</v>
      </c>
      <c r="B27" s="49">
        <v>39470</v>
      </c>
      <c r="C27" s="32" t="s">
        <v>1703</v>
      </c>
      <c r="D27" s="108" t="s">
        <v>1747</v>
      </c>
      <c r="H27" s="35"/>
      <c r="I27" s="35"/>
    </row>
    <row r="28" spans="1:9" ht="12.75">
      <c r="A28">
        <v>24</v>
      </c>
      <c r="B28" s="49">
        <v>39471</v>
      </c>
      <c r="C28" t="s">
        <v>1394</v>
      </c>
      <c r="H28" s="35"/>
      <c r="I28" s="35"/>
    </row>
    <row r="29" spans="1:9" ht="12.75">
      <c r="A29">
        <v>25</v>
      </c>
      <c r="B29" s="49">
        <v>39472</v>
      </c>
      <c r="C29" s="32" t="s">
        <v>1092</v>
      </c>
      <c r="D29" s="108"/>
      <c r="H29" s="35"/>
      <c r="I29" s="35"/>
    </row>
    <row r="30" spans="1:9" ht="12.75">
      <c r="A30">
        <v>26</v>
      </c>
      <c r="B30" s="49">
        <v>39473</v>
      </c>
      <c r="C30" t="s">
        <v>1395</v>
      </c>
      <c r="H30" s="35"/>
      <c r="I30" s="35"/>
    </row>
    <row r="31" spans="1:9" ht="12.75">
      <c r="A31">
        <v>27</v>
      </c>
      <c r="B31" s="49">
        <v>39474</v>
      </c>
      <c r="C31" t="s">
        <v>1405</v>
      </c>
      <c r="H31" s="35"/>
      <c r="I31" s="35"/>
    </row>
    <row r="32" spans="1:9" ht="12.75">
      <c r="A32">
        <v>28</v>
      </c>
      <c r="B32" s="49">
        <v>39475</v>
      </c>
      <c r="C32" s="37" t="s">
        <v>1406</v>
      </c>
      <c r="H32" s="35"/>
      <c r="I32" s="35"/>
    </row>
    <row r="33" spans="1:9" ht="12.75">
      <c r="A33">
        <v>29</v>
      </c>
      <c r="B33" s="49">
        <v>39476</v>
      </c>
      <c r="C33" s="37" t="s">
        <v>1407</v>
      </c>
      <c r="H33" s="35"/>
      <c r="I33" s="35"/>
    </row>
    <row r="34" spans="1:9" ht="12.75">
      <c r="A34">
        <v>30</v>
      </c>
      <c r="B34" s="49">
        <v>39477</v>
      </c>
      <c r="C34" s="97" t="s">
        <v>1698</v>
      </c>
      <c r="D34" s="108"/>
      <c r="H34" s="35"/>
      <c r="I34" s="35"/>
    </row>
    <row r="35" spans="1:9" ht="12.75">
      <c r="A35">
        <v>31</v>
      </c>
      <c r="B35" s="49">
        <v>39478</v>
      </c>
      <c r="C35" s="37" t="s">
        <v>1408</v>
      </c>
      <c r="H35" s="35"/>
      <c r="I35" s="35"/>
    </row>
    <row r="36" spans="1:9" ht="12.75">
      <c r="A36">
        <v>32</v>
      </c>
      <c r="B36" s="49">
        <v>39479</v>
      </c>
      <c r="C36" t="s">
        <v>1409</v>
      </c>
      <c r="H36" s="35"/>
      <c r="I36" s="35"/>
    </row>
    <row r="37" spans="1:9" ht="12.75">
      <c r="A37">
        <v>33</v>
      </c>
      <c r="B37" s="49">
        <v>39480</v>
      </c>
      <c r="C37" t="s">
        <v>1113</v>
      </c>
      <c r="H37" s="35"/>
      <c r="I37" s="35"/>
    </row>
    <row r="38" spans="1:9" ht="12.75">
      <c r="A38">
        <v>34</v>
      </c>
      <c r="B38" s="49">
        <v>39481</v>
      </c>
      <c r="C38" t="s">
        <v>1410</v>
      </c>
      <c r="H38" s="35"/>
      <c r="I38" s="35"/>
    </row>
    <row r="39" spans="1:9" ht="12.75">
      <c r="A39">
        <v>35</v>
      </c>
      <c r="B39" s="49">
        <v>39482</v>
      </c>
      <c r="C39" s="37" t="s">
        <v>1411</v>
      </c>
      <c r="H39" s="35"/>
      <c r="I39" s="35"/>
    </row>
    <row r="40" spans="1:9" ht="12.75">
      <c r="A40">
        <v>36</v>
      </c>
      <c r="B40" s="49">
        <v>39483</v>
      </c>
      <c r="C40" s="32" t="s">
        <v>1699</v>
      </c>
      <c r="D40" s="108"/>
      <c r="H40" s="35"/>
      <c r="I40" s="35"/>
    </row>
    <row r="41" spans="1:9" ht="12.75">
      <c r="A41">
        <v>37</v>
      </c>
      <c r="B41" s="49">
        <v>39484</v>
      </c>
      <c r="C41" t="s">
        <v>1412</v>
      </c>
      <c r="H41" s="35"/>
      <c r="I41" s="35"/>
    </row>
    <row r="42" spans="1:9" ht="12.75">
      <c r="A42">
        <v>38</v>
      </c>
      <c r="B42" s="49">
        <v>39485</v>
      </c>
      <c r="C42" s="37" t="s">
        <v>1413</v>
      </c>
      <c r="H42" s="35"/>
      <c r="I42" s="35"/>
    </row>
    <row r="43" spans="1:9" ht="12.75">
      <c r="A43">
        <v>39</v>
      </c>
      <c r="B43" s="49">
        <v>39486</v>
      </c>
      <c r="C43" s="37" t="s">
        <v>1414</v>
      </c>
      <c r="H43" s="35"/>
      <c r="I43" s="35"/>
    </row>
    <row r="44" spans="1:9" ht="12.75">
      <c r="A44">
        <v>40</v>
      </c>
      <c r="B44" s="49">
        <v>39487</v>
      </c>
      <c r="C44" s="108" t="s">
        <v>1705</v>
      </c>
      <c r="D44" s="108" t="s">
        <v>1748</v>
      </c>
      <c r="H44" s="35"/>
      <c r="I44" s="35"/>
    </row>
    <row r="45" spans="1:9" ht="12.75">
      <c r="A45">
        <v>41</v>
      </c>
      <c r="B45" s="49">
        <v>39488</v>
      </c>
      <c r="C45" s="97" t="s">
        <v>1700</v>
      </c>
      <c r="D45" s="108"/>
      <c r="H45" s="35"/>
      <c r="I45" s="35"/>
    </row>
    <row r="46" spans="1:9" ht="12.75">
      <c r="A46">
        <v>42</v>
      </c>
      <c r="B46" s="49">
        <v>39489</v>
      </c>
      <c r="C46" s="37" t="s">
        <v>1112</v>
      </c>
      <c r="H46" s="35"/>
      <c r="I46" s="35"/>
    </row>
    <row r="47" spans="1:9" ht="12.75">
      <c r="A47">
        <v>43</v>
      </c>
      <c r="B47" s="49">
        <v>39490</v>
      </c>
      <c r="C47" s="37" t="s">
        <v>1093</v>
      </c>
      <c r="H47" s="35"/>
      <c r="I47" s="35"/>
    </row>
    <row r="48" spans="1:9" ht="12.75">
      <c r="A48">
        <v>44</v>
      </c>
      <c r="B48" s="49">
        <v>39491</v>
      </c>
      <c r="C48" s="37" t="s">
        <v>1415</v>
      </c>
      <c r="H48" s="35"/>
      <c r="I48" s="35"/>
    </row>
    <row r="49" spans="1:9" ht="12.75">
      <c r="A49">
        <v>45</v>
      </c>
      <c r="B49" s="49">
        <v>39492</v>
      </c>
      <c r="C49" s="32" t="s">
        <v>2215</v>
      </c>
      <c r="E49" t="s">
        <v>1094</v>
      </c>
      <c r="H49" s="35"/>
      <c r="I49" s="35"/>
    </row>
    <row r="50" spans="1:9" ht="12.75">
      <c r="A50">
        <v>46</v>
      </c>
      <c r="B50" s="49">
        <v>39493</v>
      </c>
      <c r="C50" t="s">
        <v>1417</v>
      </c>
      <c r="H50" s="35"/>
      <c r="I50" s="35"/>
    </row>
    <row r="51" spans="1:9" ht="12.75">
      <c r="A51">
        <v>47</v>
      </c>
      <c r="B51" s="49">
        <v>39494</v>
      </c>
      <c r="C51" s="37" t="s">
        <v>1418</v>
      </c>
      <c r="H51" s="35"/>
      <c r="I51" s="35"/>
    </row>
    <row r="52" spans="1:9" ht="12.75">
      <c r="A52">
        <v>48</v>
      </c>
      <c r="B52" s="49">
        <v>39495</v>
      </c>
      <c r="C52" s="37" t="s">
        <v>1419</v>
      </c>
      <c r="H52" s="35"/>
      <c r="I52" s="35"/>
    </row>
    <row r="53" spans="1:9" ht="12.75">
      <c r="A53">
        <v>49</v>
      </c>
      <c r="B53" s="49">
        <v>39496</v>
      </c>
      <c r="C53" t="s">
        <v>1420</v>
      </c>
      <c r="H53" s="35"/>
      <c r="I53" s="35"/>
    </row>
    <row r="54" spans="1:9" ht="12.75">
      <c r="A54">
        <v>50</v>
      </c>
      <c r="B54" s="49">
        <v>39497</v>
      </c>
      <c r="C54" s="37" t="s">
        <v>1421</v>
      </c>
      <c r="H54" s="35"/>
      <c r="I54" s="35"/>
    </row>
    <row r="55" spans="1:9" ht="12.75">
      <c r="A55">
        <v>51</v>
      </c>
      <c r="B55" s="49">
        <v>39498</v>
      </c>
      <c r="C55" s="37" t="s">
        <v>1422</v>
      </c>
      <c r="H55" s="35"/>
      <c r="I55" s="35"/>
    </row>
    <row r="56" spans="1:9" ht="12.75">
      <c r="A56">
        <v>52</v>
      </c>
      <c r="B56" s="49">
        <v>39499</v>
      </c>
      <c r="C56" s="37" t="s">
        <v>1423</v>
      </c>
      <c r="H56" s="35"/>
      <c r="I56" s="35"/>
    </row>
    <row r="57" spans="1:9" ht="12.75">
      <c r="A57">
        <v>53</v>
      </c>
      <c r="B57" s="49">
        <v>39500</v>
      </c>
      <c r="C57" s="32" t="s">
        <v>1095</v>
      </c>
      <c r="D57" s="108"/>
      <c r="H57" s="35"/>
      <c r="I57" s="35"/>
    </row>
    <row r="58" spans="1:9" ht="12.75">
      <c r="A58">
        <v>54</v>
      </c>
      <c r="B58" s="49">
        <v>39501</v>
      </c>
      <c r="C58" s="37" t="s">
        <v>1424</v>
      </c>
      <c r="H58" s="35"/>
      <c r="I58" s="35"/>
    </row>
    <row r="59" spans="1:9" ht="12.75">
      <c r="A59">
        <v>55</v>
      </c>
      <c r="B59" s="49">
        <v>39502</v>
      </c>
      <c r="C59" s="32" t="s">
        <v>1754</v>
      </c>
      <c r="H59" s="35"/>
      <c r="I59" s="35"/>
    </row>
    <row r="60" spans="1:9" ht="12.75">
      <c r="A60">
        <v>56</v>
      </c>
      <c r="B60" s="49">
        <v>39503</v>
      </c>
      <c r="C60" s="37" t="s">
        <v>1425</v>
      </c>
      <c r="H60" s="35"/>
      <c r="I60" s="35"/>
    </row>
    <row r="61" spans="1:9" ht="12.75">
      <c r="A61">
        <v>57</v>
      </c>
      <c r="B61" s="49">
        <v>39504</v>
      </c>
      <c r="C61" s="97" t="s">
        <v>1674</v>
      </c>
      <c r="D61" s="108"/>
      <c r="H61" s="35"/>
      <c r="I61" s="35"/>
    </row>
    <row r="62" spans="1:9" ht="12.75">
      <c r="A62">
        <v>58</v>
      </c>
      <c r="B62" s="49">
        <v>39505</v>
      </c>
      <c r="C62" s="37" t="s">
        <v>1426</v>
      </c>
      <c r="H62" s="35"/>
      <c r="I62" s="35"/>
    </row>
    <row r="63" spans="1:9" ht="12.75">
      <c r="A63">
        <v>59</v>
      </c>
      <c r="B63" s="49">
        <v>39506</v>
      </c>
      <c r="C63" s="37" t="s">
        <v>1427</v>
      </c>
      <c r="H63" s="35"/>
      <c r="I63" s="35"/>
    </row>
    <row r="64" spans="1:9" ht="12.75">
      <c r="A64">
        <v>60</v>
      </c>
      <c r="B64" s="49">
        <v>39507</v>
      </c>
      <c r="C64" s="37" t="s">
        <v>1428</v>
      </c>
      <c r="H64" s="35"/>
      <c r="I64" s="35"/>
    </row>
    <row r="65" spans="1:9" ht="12.75">
      <c r="A65">
        <v>61</v>
      </c>
      <c r="B65" s="49">
        <v>39508</v>
      </c>
      <c r="C65" s="37" t="s">
        <v>1429</v>
      </c>
      <c r="H65" s="35"/>
      <c r="I65" s="35"/>
    </row>
    <row r="66" spans="1:9" ht="12.75">
      <c r="A66">
        <v>62</v>
      </c>
      <c r="B66" s="49">
        <v>39509</v>
      </c>
      <c r="C66" s="37" t="s">
        <v>1430</v>
      </c>
      <c r="H66" s="35"/>
      <c r="I66" s="35"/>
    </row>
    <row r="67" spans="1:9" ht="12.75">
      <c r="A67">
        <v>63</v>
      </c>
      <c r="B67" s="49">
        <v>39510</v>
      </c>
      <c r="C67" s="37" t="s">
        <v>1431</v>
      </c>
      <c r="H67" s="35"/>
      <c r="I67" s="35"/>
    </row>
    <row r="68" spans="1:9" ht="12.75">
      <c r="A68">
        <v>64</v>
      </c>
      <c r="B68" s="49">
        <v>39511</v>
      </c>
      <c r="C68" s="37" t="s">
        <v>1432</v>
      </c>
      <c r="H68" s="35"/>
      <c r="I68" s="35"/>
    </row>
    <row r="69" spans="1:9" ht="12.75">
      <c r="A69">
        <v>65</v>
      </c>
      <c r="B69" s="49">
        <v>39512</v>
      </c>
      <c r="C69" s="37" t="s">
        <v>1433</v>
      </c>
      <c r="H69" s="35"/>
      <c r="I69" s="35"/>
    </row>
    <row r="70" spans="1:9" ht="12.75">
      <c r="A70">
        <v>66</v>
      </c>
      <c r="B70" s="49">
        <v>39513</v>
      </c>
      <c r="C70" s="37" t="s">
        <v>1434</v>
      </c>
      <c r="H70" s="35"/>
      <c r="I70" s="35"/>
    </row>
    <row r="71" spans="1:9" ht="12.75">
      <c r="A71">
        <v>67</v>
      </c>
      <c r="B71" s="49">
        <v>39514</v>
      </c>
      <c r="C71" t="s">
        <v>1435</v>
      </c>
      <c r="H71" s="35"/>
      <c r="I71" s="35"/>
    </row>
    <row r="72" spans="1:9" ht="12.75">
      <c r="A72">
        <v>68</v>
      </c>
      <c r="B72" s="49">
        <v>39515</v>
      </c>
      <c r="C72" s="37" t="s">
        <v>1436</v>
      </c>
      <c r="H72" s="35"/>
      <c r="I72" s="35"/>
    </row>
    <row r="73" spans="1:9" ht="12.75">
      <c r="A73">
        <v>69</v>
      </c>
      <c r="B73" s="49">
        <v>39881</v>
      </c>
      <c r="C73" t="s">
        <v>1437</v>
      </c>
      <c r="D73" s="108" t="s">
        <v>1749</v>
      </c>
      <c r="H73" s="35"/>
      <c r="I73" s="35"/>
    </row>
    <row r="74" spans="1:9" ht="12.75">
      <c r="A74">
        <v>70</v>
      </c>
      <c r="B74" s="49">
        <v>39882</v>
      </c>
      <c r="C74" s="37" t="s">
        <v>1428</v>
      </c>
      <c r="H74" s="35"/>
      <c r="I74" s="35"/>
    </row>
    <row r="75" spans="1:9" ht="12.75">
      <c r="A75">
        <v>71</v>
      </c>
      <c r="B75" s="49">
        <v>39883</v>
      </c>
      <c r="C75" s="37" t="s">
        <v>1438</v>
      </c>
      <c r="H75" s="35"/>
      <c r="I75" s="35"/>
    </row>
    <row r="76" spans="1:9" ht="12.75">
      <c r="A76">
        <v>72</v>
      </c>
      <c r="B76" s="49">
        <v>39884</v>
      </c>
      <c r="C76" t="s">
        <v>1439</v>
      </c>
      <c r="H76" s="35"/>
      <c r="I76" s="35"/>
    </row>
    <row r="77" spans="1:9" ht="12.75">
      <c r="A77">
        <v>73</v>
      </c>
      <c r="B77" s="49">
        <v>39885</v>
      </c>
      <c r="C77" s="37" t="s">
        <v>1440</v>
      </c>
      <c r="H77" s="35"/>
      <c r="I77" s="35"/>
    </row>
    <row r="78" spans="1:9" ht="12.75">
      <c r="A78">
        <v>74</v>
      </c>
      <c r="B78" s="49">
        <v>39886</v>
      </c>
      <c r="C78" s="97" t="s">
        <v>1701</v>
      </c>
      <c r="D78" s="108"/>
      <c r="H78" s="35"/>
      <c r="I78" s="35"/>
    </row>
    <row r="79" spans="1:9" ht="12.75">
      <c r="A79">
        <v>75</v>
      </c>
      <c r="B79" s="49">
        <v>39887</v>
      </c>
      <c r="C79" s="97" t="s">
        <v>1702</v>
      </c>
      <c r="D79" s="108"/>
      <c r="H79" s="35"/>
      <c r="I79" s="35"/>
    </row>
    <row r="80" spans="1:9" ht="12.75">
      <c r="A80">
        <v>76</v>
      </c>
      <c r="B80" s="49">
        <v>39888</v>
      </c>
      <c r="C80" s="37" t="s">
        <v>1381</v>
      </c>
      <c r="D80" s="108" t="s">
        <v>2216</v>
      </c>
      <c r="H80" s="35"/>
      <c r="I80" s="35"/>
    </row>
    <row r="81" spans="1:9" ht="12.75">
      <c r="A81">
        <v>77</v>
      </c>
      <c r="B81" s="49">
        <v>39889</v>
      </c>
      <c r="C81" s="37" t="s">
        <v>1441</v>
      </c>
      <c r="H81" s="35"/>
      <c r="I81" s="35"/>
    </row>
    <row r="82" spans="1:9" ht="12.75">
      <c r="A82">
        <v>78</v>
      </c>
      <c r="B82" s="49">
        <v>39890</v>
      </c>
      <c r="C82" s="37" t="s">
        <v>1442</v>
      </c>
      <c r="H82" s="35"/>
      <c r="I82" s="35"/>
    </row>
    <row r="83" spans="1:9" ht="12.75">
      <c r="A83">
        <v>79</v>
      </c>
      <c r="B83" s="49">
        <v>39891</v>
      </c>
      <c r="C83" t="s">
        <v>1443</v>
      </c>
      <c r="H83" s="35"/>
      <c r="I83" s="35"/>
    </row>
    <row r="84" spans="1:9" ht="12.75">
      <c r="A84">
        <v>80</v>
      </c>
      <c r="B84" s="49">
        <v>39892</v>
      </c>
      <c r="C84" s="37" t="s">
        <v>1444</v>
      </c>
      <c r="H84" s="35"/>
      <c r="I84" s="35"/>
    </row>
    <row r="85" spans="1:9" ht="12.75">
      <c r="A85">
        <v>81</v>
      </c>
      <c r="B85" s="49">
        <v>39893</v>
      </c>
      <c r="C85" t="s">
        <v>1445</v>
      </c>
      <c r="H85" s="35"/>
      <c r="I85" s="35"/>
    </row>
    <row r="86" spans="1:9" ht="12.75">
      <c r="A86">
        <v>82</v>
      </c>
      <c r="B86" s="49">
        <v>39894</v>
      </c>
      <c r="C86" s="97" t="s">
        <v>1695</v>
      </c>
      <c r="D86" s="108"/>
      <c r="H86" s="35"/>
      <c r="I86" s="35"/>
    </row>
    <row r="87" spans="1:9" ht="12.75">
      <c r="A87">
        <v>83</v>
      </c>
      <c r="B87" s="49">
        <v>39895</v>
      </c>
      <c r="C87" s="37" t="s">
        <v>1446</v>
      </c>
      <c r="H87" s="35"/>
      <c r="I87" s="35"/>
    </row>
    <row r="88" spans="1:9" ht="12.75">
      <c r="A88">
        <v>84</v>
      </c>
      <c r="B88" s="49">
        <v>39896</v>
      </c>
      <c r="C88" s="37" t="s">
        <v>1447</v>
      </c>
      <c r="H88" s="35"/>
      <c r="I88" s="35"/>
    </row>
    <row r="89" spans="1:9" ht="12.75">
      <c r="A89">
        <v>85</v>
      </c>
      <c r="B89" s="49">
        <v>39897</v>
      </c>
      <c r="C89" t="s">
        <v>1111</v>
      </c>
      <c r="H89" s="35"/>
      <c r="I89" s="35"/>
    </row>
    <row r="90" spans="1:9" ht="12.75">
      <c r="A90">
        <v>86</v>
      </c>
      <c r="B90" s="49">
        <v>39898</v>
      </c>
      <c r="C90" s="37" t="s">
        <v>1448</v>
      </c>
      <c r="H90" s="35"/>
      <c r="I90" s="35"/>
    </row>
    <row r="91" spans="1:9" ht="12.75">
      <c r="A91">
        <v>87</v>
      </c>
      <c r="B91" s="49">
        <v>39899</v>
      </c>
      <c r="C91" s="37" t="s">
        <v>1449</v>
      </c>
      <c r="H91" s="35"/>
      <c r="I91" s="35"/>
    </row>
    <row r="92" spans="1:9" ht="12.75">
      <c r="A92">
        <v>88</v>
      </c>
      <c r="B92" s="49">
        <v>39900</v>
      </c>
      <c r="C92" s="37" t="s">
        <v>1450</v>
      </c>
      <c r="H92" s="35"/>
      <c r="I92" s="35"/>
    </row>
    <row r="93" spans="1:9" ht="12.75">
      <c r="A93">
        <v>89</v>
      </c>
      <c r="B93" s="49">
        <v>39901</v>
      </c>
      <c r="C93" s="37" t="s">
        <v>1451</v>
      </c>
      <c r="H93" s="35"/>
      <c r="I93" s="35"/>
    </row>
    <row r="94" spans="1:9" ht="12.75">
      <c r="A94">
        <v>90</v>
      </c>
      <c r="B94" s="49">
        <v>39902</v>
      </c>
      <c r="C94" s="37" t="s">
        <v>1452</v>
      </c>
      <c r="H94" s="35"/>
      <c r="I94" s="35"/>
    </row>
    <row r="95" spans="1:9" ht="12.75">
      <c r="A95">
        <v>91</v>
      </c>
      <c r="B95" s="49">
        <v>39903</v>
      </c>
      <c r="C95" s="97" t="s">
        <v>1694</v>
      </c>
      <c r="D95" s="108"/>
      <c r="I95" s="35"/>
    </row>
    <row r="96" spans="1:3" ht="12.75">
      <c r="A96">
        <v>92</v>
      </c>
      <c r="B96" s="49">
        <v>39904</v>
      </c>
      <c r="C96" s="37" t="s">
        <v>1453</v>
      </c>
    </row>
    <row r="97" spans="1:3" ht="12.75">
      <c r="A97">
        <v>93</v>
      </c>
      <c r="B97" s="49">
        <v>39905</v>
      </c>
      <c r="C97" s="37" t="s">
        <v>1454</v>
      </c>
    </row>
    <row r="98" spans="1:3" ht="12.75">
      <c r="A98">
        <v>94</v>
      </c>
      <c r="B98" s="49">
        <v>39906</v>
      </c>
      <c r="C98" s="37" t="s">
        <v>1455</v>
      </c>
    </row>
    <row r="99" spans="1:3" ht="12.75">
      <c r="A99">
        <v>95</v>
      </c>
      <c r="B99" s="49">
        <v>39907</v>
      </c>
      <c r="C99" s="37" t="s">
        <v>1456</v>
      </c>
    </row>
    <row r="100" spans="1:3" ht="12.75">
      <c r="A100">
        <v>96</v>
      </c>
      <c r="B100" s="49">
        <v>39908</v>
      </c>
      <c r="C100" s="37" t="s">
        <v>1457</v>
      </c>
    </row>
    <row r="101" spans="1:3" ht="12.75">
      <c r="A101">
        <v>97</v>
      </c>
      <c r="B101" s="49">
        <v>39909</v>
      </c>
      <c r="C101" s="37" t="s">
        <v>1458</v>
      </c>
    </row>
    <row r="102" spans="1:3" ht="12.75">
      <c r="A102">
        <v>98</v>
      </c>
      <c r="B102" s="49">
        <v>39910</v>
      </c>
      <c r="C102" s="37" t="s">
        <v>1459</v>
      </c>
    </row>
    <row r="103" spans="1:3" ht="12.75">
      <c r="A103">
        <v>99</v>
      </c>
      <c r="B103" s="49">
        <v>39911</v>
      </c>
      <c r="C103" s="37" t="s">
        <v>1460</v>
      </c>
    </row>
    <row r="104" spans="1:4" ht="12.75">
      <c r="A104">
        <v>100</v>
      </c>
      <c r="B104" s="49">
        <v>39912</v>
      </c>
      <c r="C104" s="97" t="s">
        <v>1678</v>
      </c>
      <c r="D104" s="108"/>
    </row>
    <row r="105" spans="1:4" ht="12.75">
      <c r="A105">
        <v>101</v>
      </c>
      <c r="B105" s="49">
        <v>39913</v>
      </c>
      <c r="C105" s="97" t="s">
        <v>1679</v>
      </c>
      <c r="D105" s="108"/>
    </row>
    <row r="106" spans="1:3" ht="12.75">
      <c r="A106">
        <v>102</v>
      </c>
      <c r="B106" s="49">
        <v>39914</v>
      </c>
      <c r="C106" t="s">
        <v>1461</v>
      </c>
    </row>
    <row r="107" spans="1:3" ht="12.75">
      <c r="A107">
        <v>103</v>
      </c>
      <c r="B107" s="49">
        <v>39915</v>
      </c>
      <c r="C107" s="37" t="s">
        <v>1462</v>
      </c>
    </row>
    <row r="108" spans="1:3" ht="12.75">
      <c r="A108">
        <v>104</v>
      </c>
      <c r="B108" s="49">
        <v>39916</v>
      </c>
      <c r="C108" s="37" t="s">
        <v>1463</v>
      </c>
    </row>
    <row r="109" spans="1:4" ht="12.75">
      <c r="A109">
        <v>105</v>
      </c>
      <c r="B109" s="49">
        <v>39917</v>
      </c>
      <c r="C109" s="32" t="s">
        <v>1707</v>
      </c>
      <c r="D109" s="108" t="s">
        <v>1750</v>
      </c>
    </row>
    <row r="110" spans="1:4" ht="12.75">
      <c r="A110">
        <v>106</v>
      </c>
      <c r="B110" s="49">
        <v>39918</v>
      </c>
      <c r="C110" s="97" t="s">
        <v>1680</v>
      </c>
      <c r="D110" s="108"/>
    </row>
    <row r="111" spans="1:4" ht="12.75">
      <c r="A111">
        <v>107</v>
      </c>
      <c r="B111" s="49">
        <v>39919</v>
      </c>
      <c r="C111" s="97" t="s">
        <v>1681</v>
      </c>
      <c r="D111" s="108"/>
    </row>
    <row r="112" spans="1:3" ht="12.75">
      <c r="A112">
        <v>108</v>
      </c>
      <c r="B112" s="49">
        <v>39920</v>
      </c>
      <c r="C112" t="s">
        <v>1464</v>
      </c>
    </row>
    <row r="113" spans="1:3" ht="12.75">
      <c r="A113">
        <v>109</v>
      </c>
      <c r="B113" s="49">
        <v>39921</v>
      </c>
      <c r="C113" s="37" t="s">
        <v>1422</v>
      </c>
    </row>
    <row r="114" spans="1:4" ht="12.75">
      <c r="A114">
        <v>110</v>
      </c>
      <c r="B114" s="49">
        <v>39922</v>
      </c>
      <c r="C114" s="37" t="s">
        <v>1465</v>
      </c>
      <c r="D114" t="s">
        <v>1096</v>
      </c>
    </row>
    <row r="115" spans="1:4" ht="12.75">
      <c r="A115">
        <v>111</v>
      </c>
      <c r="B115" s="49">
        <v>39923</v>
      </c>
      <c r="C115" s="97" t="s">
        <v>1682</v>
      </c>
      <c r="D115" s="108"/>
    </row>
    <row r="116" spans="1:3" ht="12.75">
      <c r="A116">
        <v>112</v>
      </c>
      <c r="B116" s="49">
        <v>39924</v>
      </c>
      <c r="C116" s="37" t="s">
        <v>1466</v>
      </c>
    </row>
    <row r="117" spans="1:3" ht="12.75">
      <c r="A117">
        <v>113</v>
      </c>
      <c r="B117" s="49">
        <v>39925</v>
      </c>
      <c r="C117" t="s">
        <v>1467</v>
      </c>
    </row>
    <row r="118" spans="1:3" ht="12.75">
      <c r="A118">
        <v>114</v>
      </c>
      <c r="B118" s="49">
        <v>39926</v>
      </c>
      <c r="C118" t="s">
        <v>1468</v>
      </c>
    </row>
    <row r="119" spans="1:3" ht="12.75">
      <c r="A119">
        <v>115</v>
      </c>
      <c r="B119" s="49">
        <v>39927</v>
      </c>
      <c r="C119" s="37" t="s">
        <v>1469</v>
      </c>
    </row>
    <row r="120" spans="1:3" ht="12.75">
      <c r="A120">
        <v>116</v>
      </c>
      <c r="B120" s="49">
        <v>39928</v>
      </c>
      <c r="C120" s="32" t="s">
        <v>1759</v>
      </c>
    </row>
    <row r="121" spans="1:4" ht="12.75">
      <c r="A121">
        <v>117</v>
      </c>
      <c r="B121" s="49">
        <v>39929</v>
      </c>
      <c r="C121" s="32" t="s">
        <v>1708</v>
      </c>
      <c r="D121" s="108"/>
    </row>
    <row r="122" spans="1:3" ht="12.75">
      <c r="A122">
        <v>118</v>
      </c>
      <c r="B122" s="49">
        <v>39930</v>
      </c>
      <c r="C122" s="37" t="s">
        <v>1485</v>
      </c>
    </row>
    <row r="123" spans="1:4" ht="12.75">
      <c r="A123">
        <v>119</v>
      </c>
      <c r="B123" s="49">
        <v>39931</v>
      </c>
      <c r="C123" s="32" t="s">
        <v>1709</v>
      </c>
      <c r="D123" t="s">
        <v>1486</v>
      </c>
    </row>
    <row r="124" spans="1:3" ht="12.75">
      <c r="A124">
        <v>120</v>
      </c>
      <c r="B124" s="49">
        <v>39932</v>
      </c>
      <c r="C124" s="37" t="s">
        <v>1487</v>
      </c>
    </row>
    <row r="125" spans="1:4" ht="12.75">
      <c r="A125">
        <v>121</v>
      </c>
      <c r="B125" s="49">
        <v>39933</v>
      </c>
      <c r="C125" s="97" t="s">
        <v>1675</v>
      </c>
      <c r="D125" s="108"/>
    </row>
    <row r="126" spans="1:3" ht="12.75">
      <c r="A126">
        <v>122</v>
      </c>
      <c r="B126" s="49">
        <v>39934</v>
      </c>
      <c r="C126" t="s">
        <v>1488</v>
      </c>
    </row>
    <row r="127" spans="1:3" ht="12.75">
      <c r="A127">
        <v>123</v>
      </c>
      <c r="B127" s="49">
        <v>39935</v>
      </c>
      <c r="C127" t="s">
        <v>1489</v>
      </c>
    </row>
    <row r="128" spans="1:4" ht="12.75">
      <c r="A128">
        <v>124</v>
      </c>
      <c r="B128" s="49">
        <v>39936</v>
      </c>
      <c r="C128" s="32" t="s">
        <v>1098</v>
      </c>
      <c r="D128" s="108"/>
    </row>
    <row r="129" spans="1:4" ht="12.75">
      <c r="A129">
        <v>125</v>
      </c>
      <c r="B129" s="49">
        <v>39937</v>
      </c>
      <c r="C129" s="32" t="s">
        <v>1676</v>
      </c>
      <c r="D129" s="108"/>
    </row>
    <row r="130" spans="1:3" ht="12.75">
      <c r="A130">
        <v>126</v>
      </c>
      <c r="B130" s="49">
        <v>39938</v>
      </c>
      <c r="C130" s="37" t="s">
        <v>1490</v>
      </c>
    </row>
    <row r="131" spans="1:3" ht="12.75">
      <c r="A131">
        <v>127</v>
      </c>
      <c r="B131" s="49">
        <v>39939</v>
      </c>
      <c r="C131" s="32" t="s">
        <v>1751</v>
      </c>
    </row>
    <row r="132" spans="1:3" ht="12.75">
      <c r="A132">
        <v>128</v>
      </c>
      <c r="B132" s="49">
        <v>39940</v>
      </c>
      <c r="C132" s="37" t="s">
        <v>1491</v>
      </c>
    </row>
    <row r="133" spans="1:4" ht="12.75">
      <c r="A133">
        <v>129</v>
      </c>
      <c r="B133" s="49">
        <v>39941</v>
      </c>
      <c r="C133" s="32" t="s">
        <v>1110</v>
      </c>
      <c r="D133" s="108"/>
    </row>
    <row r="134" spans="1:3" ht="12.75">
      <c r="A134">
        <v>130</v>
      </c>
      <c r="B134" s="49">
        <v>39942</v>
      </c>
      <c r="C134" t="s">
        <v>1492</v>
      </c>
    </row>
    <row r="135" spans="1:4" ht="12.75">
      <c r="A135">
        <v>131</v>
      </c>
      <c r="B135" s="49">
        <v>39943</v>
      </c>
      <c r="C135" s="32" t="s">
        <v>1712</v>
      </c>
      <c r="D135" t="s">
        <v>1493</v>
      </c>
    </row>
    <row r="136" spans="1:3" ht="12.75">
      <c r="A136">
        <v>132</v>
      </c>
      <c r="B136" s="49">
        <v>39944</v>
      </c>
      <c r="C136" s="37" t="s">
        <v>1494</v>
      </c>
    </row>
    <row r="137" spans="1:3" ht="12.75">
      <c r="A137">
        <v>133</v>
      </c>
      <c r="B137" s="49">
        <v>39945</v>
      </c>
      <c r="C137" t="s">
        <v>1495</v>
      </c>
    </row>
    <row r="138" spans="1:3" ht="12.75">
      <c r="A138">
        <v>134</v>
      </c>
      <c r="B138" s="49">
        <v>39946</v>
      </c>
      <c r="C138" s="37" t="s">
        <v>1496</v>
      </c>
    </row>
    <row r="139" spans="1:3" ht="12.75">
      <c r="A139">
        <v>135</v>
      </c>
      <c r="B139" s="49">
        <v>39947</v>
      </c>
      <c r="C139" t="s">
        <v>1497</v>
      </c>
    </row>
    <row r="140" spans="1:3" ht="12.75">
      <c r="A140">
        <v>136</v>
      </c>
      <c r="B140" s="49">
        <v>39948</v>
      </c>
      <c r="C140" s="37" t="s">
        <v>1498</v>
      </c>
    </row>
    <row r="141" spans="1:3" ht="12.75">
      <c r="A141">
        <v>137</v>
      </c>
      <c r="B141" s="49">
        <v>39949</v>
      </c>
      <c r="C141" s="37" t="s">
        <v>1499</v>
      </c>
    </row>
    <row r="142" spans="1:3" ht="12.75">
      <c r="A142">
        <v>138</v>
      </c>
      <c r="B142" s="49">
        <v>39950</v>
      </c>
      <c r="C142" s="37" t="s">
        <v>1500</v>
      </c>
    </row>
    <row r="143" spans="1:3" ht="12.75">
      <c r="A143">
        <v>139</v>
      </c>
      <c r="B143" s="49">
        <v>39951</v>
      </c>
      <c r="C143" s="37" t="s">
        <v>1453</v>
      </c>
    </row>
    <row r="144" spans="1:4" ht="12.75">
      <c r="A144">
        <v>140</v>
      </c>
      <c r="B144" s="49">
        <v>39952</v>
      </c>
      <c r="C144" s="109" t="s">
        <v>1713</v>
      </c>
      <c r="D144" t="s">
        <v>1501</v>
      </c>
    </row>
    <row r="145" spans="1:3" ht="12.75">
      <c r="A145">
        <v>141</v>
      </c>
      <c r="B145" s="49">
        <v>39953</v>
      </c>
      <c r="C145" s="97" t="s">
        <v>1763</v>
      </c>
    </row>
    <row r="146" spans="1:3" ht="12.75">
      <c r="A146">
        <v>142</v>
      </c>
      <c r="B146" s="49">
        <v>39954</v>
      </c>
      <c r="C146" s="37" t="s">
        <v>1502</v>
      </c>
    </row>
    <row r="147" spans="1:4" ht="12.75">
      <c r="A147">
        <v>143</v>
      </c>
      <c r="B147" s="49">
        <v>39955</v>
      </c>
      <c r="C147" s="97" t="s">
        <v>1677</v>
      </c>
      <c r="D147" s="108"/>
    </row>
    <row r="148" spans="1:3" ht="12.75">
      <c r="A148">
        <v>144</v>
      </c>
      <c r="B148" s="49">
        <v>39956</v>
      </c>
      <c r="C148" s="37" t="s">
        <v>1503</v>
      </c>
    </row>
    <row r="149" spans="1:3" ht="12.75">
      <c r="A149">
        <v>145</v>
      </c>
      <c r="B149" s="49">
        <v>39957</v>
      </c>
      <c r="C149" s="97" t="s">
        <v>1745</v>
      </c>
    </row>
    <row r="150" spans="1:4" ht="12.75">
      <c r="A150">
        <v>146</v>
      </c>
      <c r="B150" s="49">
        <v>39958</v>
      </c>
      <c r="C150" s="109" t="s">
        <v>1714</v>
      </c>
      <c r="D150" t="s">
        <v>1504</v>
      </c>
    </row>
    <row r="151" spans="1:4" ht="12.75">
      <c r="A151">
        <v>147</v>
      </c>
      <c r="B151" s="49">
        <v>39959</v>
      </c>
      <c r="C151" s="109" t="s">
        <v>1422</v>
      </c>
      <c r="D151" t="s">
        <v>1505</v>
      </c>
    </row>
    <row r="152" spans="1:4" ht="12.75">
      <c r="A152">
        <v>148</v>
      </c>
      <c r="B152" s="49">
        <v>39960</v>
      </c>
      <c r="C152" s="108" t="s">
        <v>1715</v>
      </c>
      <c r="D152" t="s">
        <v>1506</v>
      </c>
    </row>
    <row r="153" spans="1:3" ht="12.75">
      <c r="A153">
        <v>149</v>
      </c>
      <c r="B153" s="49">
        <v>39961</v>
      </c>
      <c r="C153" s="37" t="s">
        <v>1507</v>
      </c>
    </row>
    <row r="154" spans="1:4" ht="12.75">
      <c r="A154">
        <v>150</v>
      </c>
      <c r="B154" s="49">
        <v>39962</v>
      </c>
      <c r="C154" s="97" t="s">
        <v>1668</v>
      </c>
      <c r="D154" s="108"/>
    </row>
    <row r="155" spans="1:4" ht="12.75">
      <c r="A155">
        <v>151</v>
      </c>
      <c r="B155" s="49">
        <v>39963</v>
      </c>
      <c r="C155" s="108" t="s">
        <v>1761</v>
      </c>
      <c r="D155" t="s">
        <v>1508</v>
      </c>
    </row>
    <row r="156" spans="1:4" ht="12.75">
      <c r="A156">
        <v>152</v>
      </c>
      <c r="B156" s="49">
        <v>39964</v>
      </c>
      <c r="C156" s="108" t="s">
        <v>1716</v>
      </c>
      <c r="D156" t="s">
        <v>1099</v>
      </c>
    </row>
    <row r="157" spans="1:3" ht="12.75">
      <c r="A157">
        <v>153</v>
      </c>
      <c r="B157" s="49">
        <v>39965</v>
      </c>
      <c r="C157" s="37" t="s">
        <v>1509</v>
      </c>
    </row>
    <row r="158" spans="1:4" ht="12.75">
      <c r="A158">
        <v>154</v>
      </c>
      <c r="B158" s="49">
        <v>39966</v>
      </c>
      <c r="C158" s="32" t="s">
        <v>1717</v>
      </c>
      <c r="D158" s="32" t="s">
        <v>1673</v>
      </c>
    </row>
    <row r="159" spans="1:3" ht="12.75">
      <c r="A159">
        <v>155</v>
      </c>
      <c r="B159" s="49">
        <v>39967</v>
      </c>
      <c r="C159" s="37" t="s">
        <v>1510</v>
      </c>
    </row>
    <row r="160" spans="1:3" ht="12.75">
      <c r="A160">
        <v>156</v>
      </c>
      <c r="B160" s="49">
        <v>39968</v>
      </c>
      <c r="C160" s="37" t="s">
        <v>1511</v>
      </c>
    </row>
    <row r="161" spans="1:3" ht="12.75">
      <c r="A161">
        <v>157</v>
      </c>
      <c r="B161" s="49">
        <v>39969</v>
      </c>
      <c r="C161" s="37" t="s">
        <v>1497</v>
      </c>
    </row>
    <row r="162" spans="1:3" ht="12.75">
      <c r="A162">
        <v>158</v>
      </c>
      <c r="B162" s="49">
        <v>39970</v>
      </c>
      <c r="C162" s="37" t="s">
        <v>1512</v>
      </c>
    </row>
    <row r="163" spans="1:3" ht="12.75">
      <c r="A163">
        <v>159</v>
      </c>
      <c r="B163" s="49">
        <v>39971</v>
      </c>
      <c r="C163" s="37" t="s">
        <v>1513</v>
      </c>
    </row>
    <row r="164" spans="1:3" ht="12.75">
      <c r="A164">
        <v>160</v>
      </c>
      <c r="B164" s="49">
        <v>39972</v>
      </c>
      <c r="C164" s="37" t="s">
        <v>1514</v>
      </c>
    </row>
    <row r="165" spans="1:3" ht="12.75">
      <c r="A165">
        <v>161</v>
      </c>
      <c r="B165" s="49">
        <v>39973</v>
      </c>
      <c r="C165" t="s">
        <v>1515</v>
      </c>
    </row>
    <row r="166" spans="1:4" ht="12.75">
      <c r="A166">
        <v>162</v>
      </c>
      <c r="B166" s="49">
        <v>39974</v>
      </c>
      <c r="C166" s="97" t="s">
        <v>1674</v>
      </c>
      <c r="D166" s="108"/>
    </row>
    <row r="167" spans="1:3" ht="12.75">
      <c r="A167">
        <v>163</v>
      </c>
      <c r="B167" s="49">
        <v>39975</v>
      </c>
      <c r="C167" t="s">
        <v>1516</v>
      </c>
    </row>
    <row r="168" spans="1:4" ht="12.75">
      <c r="A168">
        <v>164</v>
      </c>
      <c r="B168" s="49">
        <v>39976</v>
      </c>
      <c r="C168" s="108" t="s">
        <v>1718</v>
      </c>
      <c r="D168" t="s">
        <v>1517</v>
      </c>
    </row>
    <row r="169" spans="1:3" ht="12.75">
      <c r="A169">
        <v>165</v>
      </c>
      <c r="B169" s="49">
        <v>39977</v>
      </c>
      <c r="C169" s="37" t="s">
        <v>1518</v>
      </c>
    </row>
    <row r="170" spans="1:3" ht="12.75">
      <c r="A170">
        <v>166</v>
      </c>
      <c r="B170" s="49">
        <v>39978</v>
      </c>
      <c r="C170" t="s">
        <v>1519</v>
      </c>
    </row>
    <row r="171" spans="1:4" ht="12.75">
      <c r="A171">
        <v>167</v>
      </c>
      <c r="B171" s="49">
        <v>39979</v>
      </c>
      <c r="C171" s="32" t="s">
        <v>1719</v>
      </c>
      <c r="D171" t="s">
        <v>1520</v>
      </c>
    </row>
    <row r="172" spans="1:3" ht="12.75">
      <c r="A172">
        <v>168</v>
      </c>
      <c r="B172" s="49">
        <v>39980</v>
      </c>
      <c r="C172" s="37" t="s">
        <v>1521</v>
      </c>
    </row>
    <row r="173" spans="1:3" ht="12.75">
      <c r="A173">
        <v>169</v>
      </c>
      <c r="B173" s="49">
        <v>39981</v>
      </c>
      <c r="C173" s="37" t="s">
        <v>1522</v>
      </c>
    </row>
    <row r="174" spans="1:4" ht="12.75">
      <c r="A174">
        <v>170</v>
      </c>
      <c r="B174" s="49">
        <v>39982</v>
      </c>
      <c r="C174" s="109" t="s">
        <v>1720</v>
      </c>
      <c r="D174" t="s">
        <v>1523</v>
      </c>
    </row>
    <row r="175" spans="1:4" ht="12.75">
      <c r="A175">
        <v>171</v>
      </c>
      <c r="B175" s="49">
        <v>39983</v>
      </c>
      <c r="C175" s="109" t="s">
        <v>1721</v>
      </c>
      <c r="D175" t="s">
        <v>1524</v>
      </c>
    </row>
    <row r="176" spans="1:3" ht="12.75">
      <c r="A176">
        <v>172</v>
      </c>
      <c r="B176" s="49">
        <v>39984</v>
      </c>
      <c r="C176" t="s">
        <v>1525</v>
      </c>
    </row>
    <row r="177" spans="1:3" ht="12.75">
      <c r="A177">
        <v>173</v>
      </c>
      <c r="B177" s="49">
        <v>39985</v>
      </c>
      <c r="C177" s="37" t="s">
        <v>1526</v>
      </c>
    </row>
    <row r="178" spans="1:3" ht="12.75">
      <c r="A178">
        <v>174</v>
      </c>
      <c r="B178" s="49">
        <v>39986</v>
      </c>
      <c r="C178" t="s">
        <v>1527</v>
      </c>
    </row>
    <row r="179" spans="1:3" ht="12.75">
      <c r="A179">
        <v>175</v>
      </c>
      <c r="B179" s="49">
        <v>39987</v>
      </c>
      <c r="C179" s="37" t="s">
        <v>1528</v>
      </c>
    </row>
    <row r="180" spans="1:5" ht="12.75">
      <c r="A180">
        <v>176</v>
      </c>
      <c r="B180" s="49">
        <v>39988</v>
      </c>
      <c r="C180" t="s">
        <v>1529</v>
      </c>
      <c r="E180" t="s">
        <v>1043</v>
      </c>
    </row>
    <row r="181" spans="1:3" ht="12.75">
      <c r="A181">
        <v>177</v>
      </c>
      <c r="B181" s="49">
        <v>39989</v>
      </c>
      <c r="C181" s="37" t="s">
        <v>1530</v>
      </c>
    </row>
    <row r="182" spans="1:3" ht="12.75">
      <c r="A182">
        <v>178</v>
      </c>
      <c r="B182" s="49">
        <v>39990</v>
      </c>
      <c r="C182" t="s">
        <v>1531</v>
      </c>
    </row>
    <row r="183" spans="1:3" ht="12.75">
      <c r="A183">
        <v>179</v>
      </c>
      <c r="B183" s="49">
        <v>39991</v>
      </c>
      <c r="C183" s="37" t="s">
        <v>1532</v>
      </c>
    </row>
    <row r="184" spans="1:4" ht="12.75">
      <c r="A184">
        <v>180</v>
      </c>
      <c r="B184" s="49">
        <v>39992</v>
      </c>
      <c r="C184" s="32" t="s">
        <v>1535</v>
      </c>
      <c r="D184" t="s">
        <v>1533</v>
      </c>
    </row>
    <row r="185" spans="1:3" ht="12.75">
      <c r="A185">
        <v>181</v>
      </c>
      <c r="B185" s="49">
        <v>39993</v>
      </c>
      <c r="C185" t="s">
        <v>1534</v>
      </c>
    </row>
    <row r="186" spans="1:7" ht="12.75">
      <c r="A186">
        <v>182</v>
      </c>
      <c r="B186" s="49">
        <v>39994</v>
      </c>
      <c r="C186" t="s">
        <v>1114</v>
      </c>
      <c r="G186" s="32"/>
    </row>
    <row r="187" spans="1:3" ht="12.75">
      <c r="A187">
        <v>183</v>
      </c>
      <c r="B187" s="49">
        <v>39995</v>
      </c>
      <c r="C187" s="37" t="s">
        <v>1100</v>
      </c>
    </row>
    <row r="188" spans="1:3" ht="12.75">
      <c r="A188">
        <v>184</v>
      </c>
      <c r="B188" s="49">
        <v>39996</v>
      </c>
      <c r="C188" t="s">
        <v>1101</v>
      </c>
    </row>
    <row r="189" spans="1:3" ht="12.75">
      <c r="A189">
        <v>185</v>
      </c>
      <c r="B189" s="49">
        <v>39997</v>
      </c>
      <c r="C189" s="37" t="s">
        <v>1535</v>
      </c>
    </row>
    <row r="190" spans="1:3" ht="12.75">
      <c r="A190">
        <v>186</v>
      </c>
      <c r="B190" s="49">
        <v>39998</v>
      </c>
      <c r="C190" s="37" t="s">
        <v>1536</v>
      </c>
    </row>
    <row r="191" spans="1:3" ht="12.75">
      <c r="A191">
        <v>187</v>
      </c>
      <c r="B191" s="49">
        <v>39999</v>
      </c>
      <c r="C191" s="37" t="s">
        <v>1537</v>
      </c>
    </row>
    <row r="192" spans="1:3" ht="12.75">
      <c r="A192">
        <v>188</v>
      </c>
      <c r="B192" s="49">
        <v>40000</v>
      </c>
      <c r="C192" s="37" t="s">
        <v>1538</v>
      </c>
    </row>
    <row r="193" spans="1:3" ht="12.75">
      <c r="A193">
        <v>189</v>
      </c>
      <c r="B193" s="49">
        <v>40001</v>
      </c>
      <c r="C193" s="37" t="s">
        <v>1539</v>
      </c>
    </row>
    <row r="194" spans="1:4" ht="12.75">
      <c r="A194">
        <v>190</v>
      </c>
      <c r="B194" s="49">
        <v>40002</v>
      </c>
      <c r="C194" s="97" t="s">
        <v>1672</v>
      </c>
      <c r="D194" s="108"/>
    </row>
    <row r="195" spans="1:3" ht="12.75">
      <c r="A195">
        <v>191</v>
      </c>
      <c r="B195" s="49">
        <v>40003</v>
      </c>
      <c r="C195" s="37" t="s">
        <v>1115</v>
      </c>
    </row>
    <row r="196" spans="1:4" ht="12.75">
      <c r="A196">
        <v>192</v>
      </c>
      <c r="B196" s="49">
        <v>40004</v>
      </c>
      <c r="C196" s="109" t="s">
        <v>1722</v>
      </c>
      <c r="D196" s="32" t="s">
        <v>1671</v>
      </c>
    </row>
    <row r="197" spans="1:3" ht="12.75">
      <c r="A197">
        <v>193</v>
      </c>
      <c r="B197" s="110">
        <v>40005</v>
      </c>
      <c r="C197" t="s">
        <v>1540</v>
      </c>
    </row>
    <row r="198" spans="1:4" ht="12.75">
      <c r="A198">
        <v>194</v>
      </c>
      <c r="B198" s="110">
        <v>40006</v>
      </c>
      <c r="C198" s="109" t="s">
        <v>1723</v>
      </c>
      <c r="D198" t="s">
        <v>1541</v>
      </c>
    </row>
    <row r="199" spans="1:3" ht="12.75">
      <c r="A199">
        <v>195</v>
      </c>
      <c r="B199" s="110">
        <v>40007</v>
      </c>
      <c r="C199" t="s">
        <v>1542</v>
      </c>
    </row>
    <row r="200" spans="1:3" ht="12.75">
      <c r="A200">
        <v>196</v>
      </c>
      <c r="B200" s="110">
        <v>40008</v>
      </c>
      <c r="C200" t="s">
        <v>1543</v>
      </c>
    </row>
    <row r="201" spans="1:3" ht="12.75">
      <c r="A201">
        <v>197</v>
      </c>
      <c r="B201" s="110">
        <v>40009</v>
      </c>
      <c r="C201" s="37" t="s">
        <v>1544</v>
      </c>
    </row>
    <row r="202" spans="1:3" ht="12.75">
      <c r="A202">
        <v>198</v>
      </c>
      <c r="B202" s="110">
        <v>40010</v>
      </c>
      <c r="C202" s="37" t="s">
        <v>1102</v>
      </c>
    </row>
    <row r="203" spans="1:3" ht="12.75">
      <c r="A203">
        <v>199</v>
      </c>
      <c r="B203" s="110">
        <v>40011</v>
      </c>
      <c r="C203" t="s">
        <v>1545</v>
      </c>
    </row>
    <row r="204" spans="1:4" ht="12.75">
      <c r="A204">
        <v>200</v>
      </c>
      <c r="B204" s="110">
        <v>40012</v>
      </c>
      <c r="C204" s="32" t="s">
        <v>1724</v>
      </c>
      <c r="D204" t="s">
        <v>1546</v>
      </c>
    </row>
    <row r="205" spans="1:3" ht="12.75">
      <c r="A205">
        <v>201</v>
      </c>
      <c r="B205" s="110">
        <v>40013</v>
      </c>
      <c r="C205" s="37" t="s">
        <v>1547</v>
      </c>
    </row>
    <row r="206" spans="1:4" ht="12.75">
      <c r="A206">
        <v>202</v>
      </c>
      <c r="B206" s="110">
        <v>40014</v>
      </c>
      <c r="C206" s="109" t="s">
        <v>1725</v>
      </c>
      <c r="D206" t="s">
        <v>1548</v>
      </c>
    </row>
    <row r="207" spans="1:3" ht="12.75">
      <c r="A207">
        <v>203</v>
      </c>
      <c r="B207" s="110">
        <v>40015</v>
      </c>
      <c r="C207" t="s">
        <v>1549</v>
      </c>
    </row>
    <row r="208" spans="1:4" ht="12.75">
      <c r="A208">
        <v>204</v>
      </c>
      <c r="B208" s="110">
        <v>40016</v>
      </c>
      <c r="C208" s="32" t="s">
        <v>1668</v>
      </c>
      <c r="D208" s="108"/>
    </row>
    <row r="209" spans="1:3" ht="12.75">
      <c r="A209">
        <v>205</v>
      </c>
      <c r="B209" s="110">
        <v>40017</v>
      </c>
      <c r="C209" t="s">
        <v>1550</v>
      </c>
    </row>
    <row r="210" spans="1:3" ht="12.75">
      <c r="A210">
        <v>206</v>
      </c>
      <c r="B210" s="110">
        <v>40018</v>
      </c>
      <c r="C210" s="37" t="s">
        <v>1551</v>
      </c>
    </row>
    <row r="211" spans="1:4" ht="12.75">
      <c r="A211">
        <v>207</v>
      </c>
      <c r="B211" s="110">
        <v>40019</v>
      </c>
      <c r="C211" t="s">
        <v>1552</v>
      </c>
      <c r="D211" s="108" t="s">
        <v>1765</v>
      </c>
    </row>
    <row r="212" spans="1:4" ht="12.75">
      <c r="A212">
        <v>208</v>
      </c>
      <c r="B212" s="110">
        <v>40020</v>
      </c>
      <c r="C212" s="97" t="s">
        <v>1669</v>
      </c>
      <c r="D212" s="108"/>
    </row>
    <row r="213" spans="1:3" ht="12.75">
      <c r="A213">
        <v>209</v>
      </c>
      <c r="B213" s="110">
        <v>40021</v>
      </c>
      <c r="C213" t="s">
        <v>1553</v>
      </c>
    </row>
    <row r="214" spans="1:3" ht="12.75">
      <c r="A214">
        <v>210</v>
      </c>
      <c r="B214" s="110">
        <v>40022</v>
      </c>
      <c r="C214" s="32" t="s">
        <v>1726</v>
      </c>
    </row>
    <row r="215" spans="1:4" ht="12.75">
      <c r="A215">
        <v>211</v>
      </c>
      <c r="B215" s="110">
        <v>40023</v>
      </c>
      <c r="C215" s="32" t="s">
        <v>1670</v>
      </c>
      <c r="D215" s="108"/>
    </row>
    <row r="216" spans="1:3" ht="12.75">
      <c r="A216">
        <v>212</v>
      </c>
      <c r="B216" s="110">
        <v>40024</v>
      </c>
      <c r="C216" t="s">
        <v>1554</v>
      </c>
    </row>
    <row r="217" spans="1:3" ht="12.75">
      <c r="A217">
        <v>213</v>
      </c>
      <c r="B217" s="110">
        <v>40025</v>
      </c>
      <c r="C217" s="37" t="s">
        <v>1555</v>
      </c>
    </row>
    <row r="218" spans="1:3" ht="12.75">
      <c r="A218">
        <v>214</v>
      </c>
      <c r="B218" s="110">
        <v>40026</v>
      </c>
      <c r="C218" t="s">
        <v>1556</v>
      </c>
    </row>
    <row r="219" spans="1:4" ht="12.75">
      <c r="A219">
        <v>215</v>
      </c>
      <c r="B219" s="110">
        <v>40027</v>
      </c>
      <c r="C219" s="32" t="s">
        <v>1576</v>
      </c>
      <c r="D219" t="s">
        <v>1557</v>
      </c>
    </row>
    <row r="220" spans="1:4" ht="12.75">
      <c r="A220">
        <v>216</v>
      </c>
      <c r="B220" s="110">
        <v>40028</v>
      </c>
      <c r="C220" s="32" t="s">
        <v>1116</v>
      </c>
      <c r="D220" s="108"/>
    </row>
    <row r="221" spans="1:4" ht="12.75">
      <c r="A221">
        <v>217</v>
      </c>
      <c r="B221" s="110">
        <v>40029</v>
      </c>
      <c r="C221" s="32" t="s">
        <v>1558</v>
      </c>
      <c r="D221" s="108"/>
    </row>
    <row r="222" spans="1:3" ht="12.75">
      <c r="A222">
        <v>218</v>
      </c>
      <c r="B222" s="110">
        <v>40030</v>
      </c>
      <c r="C222" t="s">
        <v>1117</v>
      </c>
    </row>
    <row r="223" spans="1:3" ht="12.75">
      <c r="A223">
        <v>219</v>
      </c>
      <c r="B223" s="110">
        <v>40031</v>
      </c>
      <c r="C223" t="s">
        <v>1103</v>
      </c>
    </row>
    <row r="224" spans="1:5" ht="12.75">
      <c r="A224">
        <v>220</v>
      </c>
      <c r="B224" s="110">
        <v>40032</v>
      </c>
      <c r="C224" s="32" t="s">
        <v>1727</v>
      </c>
      <c r="D224" t="s">
        <v>1559</v>
      </c>
      <c r="E224" s="32" t="s">
        <v>1728</v>
      </c>
    </row>
    <row r="225" spans="1:3" ht="12.75">
      <c r="A225">
        <v>221</v>
      </c>
      <c r="B225" s="110">
        <v>40033</v>
      </c>
      <c r="C225" t="s">
        <v>1459</v>
      </c>
    </row>
    <row r="226" spans="1:4" ht="12.75">
      <c r="A226">
        <v>222</v>
      </c>
      <c r="B226" s="110">
        <v>40034</v>
      </c>
      <c r="C226" s="32" t="s">
        <v>1729</v>
      </c>
      <c r="D226" t="s">
        <v>1560</v>
      </c>
    </row>
    <row r="227" spans="1:3" ht="12.75">
      <c r="A227">
        <v>223</v>
      </c>
      <c r="B227" s="110">
        <v>40035</v>
      </c>
      <c r="C227" t="s">
        <v>1561</v>
      </c>
    </row>
    <row r="228" spans="1:3" ht="12.75">
      <c r="A228">
        <v>224</v>
      </c>
      <c r="B228" s="110">
        <v>40036</v>
      </c>
      <c r="C228" t="s">
        <v>1562</v>
      </c>
    </row>
    <row r="229" spans="1:4" ht="12.75">
      <c r="A229">
        <v>225</v>
      </c>
      <c r="B229" s="110">
        <v>40037</v>
      </c>
      <c r="C229" s="32" t="s">
        <v>1667</v>
      </c>
      <c r="D229" s="108"/>
    </row>
    <row r="230" spans="1:4" ht="12.75">
      <c r="A230">
        <v>226</v>
      </c>
      <c r="B230" s="110">
        <v>40038</v>
      </c>
      <c r="C230" s="32" t="s">
        <v>1730</v>
      </c>
      <c r="D230" t="s">
        <v>1563</v>
      </c>
    </row>
    <row r="231" spans="1:3" ht="12.75">
      <c r="A231">
        <v>227</v>
      </c>
      <c r="B231" s="110">
        <v>40039</v>
      </c>
      <c r="C231" t="s">
        <v>1433</v>
      </c>
    </row>
    <row r="232" spans="1:8" ht="12.75">
      <c r="A232">
        <v>228</v>
      </c>
      <c r="B232" s="110">
        <v>40040</v>
      </c>
      <c r="C232" t="s">
        <v>1104</v>
      </c>
      <c r="H232" s="32"/>
    </row>
    <row r="233" spans="1:3" ht="12.75">
      <c r="A233">
        <v>229</v>
      </c>
      <c r="B233" s="110">
        <v>40041</v>
      </c>
      <c r="C233" s="97" t="s">
        <v>1752</v>
      </c>
    </row>
    <row r="234" spans="1:3" ht="12.75">
      <c r="A234">
        <v>230</v>
      </c>
      <c r="B234" s="110">
        <v>40042</v>
      </c>
      <c r="C234" s="37" t="s">
        <v>1564</v>
      </c>
    </row>
    <row r="235" spans="1:3" ht="12.75">
      <c r="A235">
        <v>231</v>
      </c>
      <c r="B235" s="110">
        <v>40043</v>
      </c>
      <c r="C235" t="s">
        <v>1565</v>
      </c>
    </row>
    <row r="236" spans="1:3" ht="12.75">
      <c r="A236">
        <v>232</v>
      </c>
      <c r="B236" s="110">
        <v>40044</v>
      </c>
      <c r="C236" s="37" t="s">
        <v>1566</v>
      </c>
    </row>
    <row r="237" spans="1:3" ht="12.75">
      <c r="A237">
        <v>233</v>
      </c>
      <c r="B237" s="110">
        <v>40045</v>
      </c>
      <c r="C237" t="s">
        <v>1567</v>
      </c>
    </row>
    <row r="238" spans="1:4" ht="12.75">
      <c r="A238">
        <v>234</v>
      </c>
      <c r="B238" s="110">
        <v>40046</v>
      </c>
      <c r="C238" s="97" t="s">
        <v>1664</v>
      </c>
      <c r="D238" s="108"/>
    </row>
    <row r="239" spans="1:3" ht="12.75">
      <c r="A239">
        <v>235</v>
      </c>
      <c r="B239" s="110">
        <v>40047</v>
      </c>
      <c r="C239" s="37" t="s">
        <v>1394</v>
      </c>
    </row>
    <row r="240" spans="1:3" ht="12.75">
      <c r="A240">
        <v>236</v>
      </c>
      <c r="B240" s="110">
        <v>40048</v>
      </c>
      <c r="C240" s="37" t="s">
        <v>1568</v>
      </c>
    </row>
    <row r="241" spans="1:8" ht="12.75">
      <c r="A241">
        <v>237</v>
      </c>
      <c r="B241" s="110">
        <v>40049</v>
      </c>
      <c r="C241" t="s">
        <v>1569</v>
      </c>
      <c r="H241" s="32"/>
    </row>
    <row r="242" spans="1:3" ht="12.75">
      <c r="A242">
        <v>238</v>
      </c>
      <c r="B242" s="110">
        <v>40050</v>
      </c>
      <c r="C242" t="s">
        <v>1570</v>
      </c>
    </row>
    <row r="243" spans="1:3" ht="12.75">
      <c r="A243">
        <v>239</v>
      </c>
      <c r="B243" s="110">
        <v>40051</v>
      </c>
      <c r="C243" t="s">
        <v>1571</v>
      </c>
    </row>
    <row r="244" spans="1:3" ht="12.75">
      <c r="A244">
        <v>240</v>
      </c>
      <c r="B244" s="110">
        <v>40052</v>
      </c>
      <c r="C244" s="37" t="s">
        <v>1572</v>
      </c>
    </row>
    <row r="245" spans="1:3" ht="12.75">
      <c r="A245">
        <v>241</v>
      </c>
      <c r="B245" s="110">
        <v>40053</v>
      </c>
      <c r="C245" t="s">
        <v>1573</v>
      </c>
    </row>
    <row r="246" spans="1:3" ht="12.75">
      <c r="A246">
        <v>242</v>
      </c>
      <c r="B246" s="110">
        <v>40054</v>
      </c>
      <c r="C246" s="32" t="s">
        <v>1118</v>
      </c>
    </row>
    <row r="247" spans="1:5" ht="12.75">
      <c r="A247">
        <v>243</v>
      </c>
      <c r="B247" s="110">
        <v>40055</v>
      </c>
      <c r="C247" s="32" t="s">
        <v>1226</v>
      </c>
      <c r="D247" s="32" t="s">
        <v>1731</v>
      </c>
      <c r="E247" t="s">
        <v>1042</v>
      </c>
    </row>
    <row r="248" spans="1:3" ht="12.75">
      <c r="A248">
        <v>244</v>
      </c>
      <c r="B248" s="110">
        <v>40056</v>
      </c>
      <c r="C248" s="37" t="s">
        <v>1574</v>
      </c>
    </row>
    <row r="249" spans="1:3" ht="12.75">
      <c r="A249">
        <v>245</v>
      </c>
      <c r="B249" s="110">
        <v>40057</v>
      </c>
      <c r="C249" t="s">
        <v>1575</v>
      </c>
    </row>
    <row r="250" spans="1:3" ht="12.75">
      <c r="A250">
        <v>246</v>
      </c>
      <c r="B250" s="110">
        <v>40058</v>
      </c>
      <c r="C250" s="37" t="s">
        <v>1576</v>
      </c>
    </row>
    <row r="251" spans="1:3" ht="12.75">
      <c r="A251">
        <v>247</v>
      </c>
      <c r="B251" s="110">
        <v>40059</v>
      </c>
      <c r="C251" s="37" t="s">
        <v>1532</v>
      </c>
    </row>
    <row r="252" spans="1:4" ht="12.75">
      <c r="A252">
        <v>248</v>
      </c>
      <c r="B252" s="110">
        <v>40060</v>
      </c>
      <c r="C252" s="97" t="s">
        <v>1665</v>
      </c>
      <c r="D252" s="108"/>
    </row>
    <row r="253" spans="1:3" ht="12.75">
      <c r="A253">
        <v>249</v>
      </c>
      <c r="B253" s="110">
        <v>40061</v>
      </c>
      <c r="C253" s="37" t="s">
        <v>1577</v>
      </c>
    </row>
    <row r="254" spans="1:3" ht="12.75">
      <c r="A254">
        <v>250</v>
      </c>
      <c r="B254" s="110">
        <v>40062</v>
      </c>
      <c r="C254" s="37" t="s">
        <v>1578</v>
      </c>
    </row>
    <row r="255" spans="1:4" ht="12.75">
      <c r="A255">
        <v>251</v>
      </c>
      <c r="B255" s="110">
        <v>40063</v>
      </c>
      <c r="C255" s="97" t="s">
        <v>1666</v>
      </c>
      <c r="D255" s="108"/>
    </row>
    <row r="256" spans="1:3" ht="12.75">
      <c r="A256">
        <v>252</v>
      </c>
      <c r="B256" s="110">
        <v>40064</v>
      </c>
      <c r="C256" t="s">
        <v>1105</v>
      </c>
    </row>
    <row r="257" spans="1:4" ht="12.75">
      <c r="A257">
        <v>253</v>
      </c>
      <c r="B257" s="110">
        <v>40065</v>
      </c>
      <c r="C257" s="108" t="s">
        <v>1732</v>
      </c>
      <c r="D257" t="s">
        <v>1579</v>
      </c>
    </row>
    <row r="258" spans="1:3" ht="12.75">
      <c r="A258">
        <v>254</v>
      </c>
      <c r="B258" s="110">
        <v>40066</v>
      </c>
      <c r="C258" s="37" t="s">
        <v>1580</v>
      </c>
    </row>
    <row r="259" spans="1:3" ht="12.75">
      <c r="A259">
        <v>255</v>
      </c>
      <c r="B259" s="110">
        <v>40067</v>
      </c>
      <c r="C259" t="s">
        <v>1581</v>
      </c>
    </row>
    <row r="260" spans="1:3" ht="12.75">
      <c r="A260">
        <v>256</v>
      </c>
      <c r="B260" s="110">
        <v>40068</v>
      </c>
      <c r="C260" s="37" t="s">
        <v>1119</v>
      </c>
    </row>
    <row r="261" spans="1:4" ht="12.75">
      <c r="A261">
        <v>257</v>
      </c>
      <c r="B261" s="110">
        <v>40069</v>
      </c>
      <c r="C261" s="97" t="s">
        <v>1438</v>
      </c>
      <c r="D261" s="108"/>
    </row>
    <row r="262" spans="1:3" ht="12.75">
      <c r="A262">
        <v>258</v>
      </c>
      <c r="B262" s="110">
        <v>40070</v>
      </c>
      <c r="C262" t="s">
        <v>1106</v>
      </c>
    </row>
    <row r="263" spans="1:4" ht="12.75">
      <c r="A263">
        <v>259</v>
      </c>
      <c r="B263" s="110">
        <v>40071</v>
      </c>
      <c r="C263" s="108" t="s">
        <v>1733</v>
      </c>
      <c r="D263" t="s">
        <v>1120</v>
      </c>
    </row>
    <row r="264" spans="1:3" ht="12.75">
      <c r="A264">
        <v>260</v>
      </c>
      <c r="B264" s="110">
        <v>40072</v>
      </c>
      <c r="C264" t="s">
        <v>1582</v>
      </c>
    </row>
    <row r="265" spans="1:4" ht="12.75">
      <c r="A265">
        <v>261</v>
      </c>
      <c r="B265" s="110">
        <v>40073</v>
      </c>
      <c r="C265" s="97" t="s">
        <v>1121</v>
      </c>
      <c r="D265" s="108"/>
    </row>
    <row r="266" spans="1:3" ht="12.75">
      <c r="A266">
        <v>262</v>
      </c>
      <c r="B266" s="110">
        <v>40074</v>
      </c>
      <c r="C266" s="37" t="s">
        <v>1583</v>
      </c>
    </row>
    <row r="267" spans="1:3" ht="12.75">
      <c r="A267">
        <v>263</v>
      </c>
      <c r="B267" s="110">
        <v>40075</v>
      </c>
      <c r="C267" s="37" t="s">
        <v>1584</v>
      </c>
    </row>
    <row r="268" spans="1:3" ht="12.75">
      <c r="A268">
        <v>264</v>
      </c>
      <c r="B268" s="110">
        <v>40076</v>
      </c>
      <c r="C268" t="s">
        <v>1585</v>
      </c>
    </row>
    <row r="269" spans="1:3" ht="12.75">
      <c r="A269">
        <v>265</v>
      </c>
      <c r="B269" s="110">
        <v>40077</v>
      </c>
      <c r="C269" s="32" t="s">
        <v>1758</v>
      </c>
    </row>
    <row r="270" spans="1:4" ht="12.75">
      <c r="A270">
        <v>266</v>
      </c>
      <c r="B270" s="110">
        <v>40078</v>
      </c>
      <c r="C270" s="109" t="s">
        <v>1734</v>
      </c>
      <c r="D270" t="s">
        <v>1586</v>
      </c>
    </row>
    <row r="271" spans="1:4" ht="12.75">
      <c r="A271">
        <v>267</v>
      </c>
      <c r="B271" s="110">
        <v>40079</v>
      </c>
      <c r="C271" s="32" t="s">
        <v>1735</v>
      </c>
      <c r="D271" s="108"/>
    </row>
    <row r="272" spans="1:3" ht="12.75">
      <c r="A272">
        <v>268</v>
      </c>
      <c r="B272" s="110">
        <v>40080</v>
      </c>
      <c r="C272" s="37" t="s">
        <v>1122</v>
      </c>
    </row>
    <row r="273" spans="1:3" ht="12.75">
      <c r="A273">
        <v>269</v>
      </c>
      <c r="B273" s="110">
        <v>40081</v>
      </c>
      <c r="C273" s="37" t="s">
        <v>1587</v>
      </c>
    </row>
    <row r="274" spans="1:3" ht="12.75">
      <c r="A274">
        <v>270</v>
      </c>
      <c r="B274" s="110">
        <v>40082</v>
      </c>
      <c r="C274" s="32" t="s">
        <v>1736</v>
      </c>
    </row>
    <row r="275" spans="1:3" ht="12.75">
      <c r="A275">
        <v>271</v>
      </c>
      <c r="B275" s="110">
        <v>40083</v>
      </c>
      <c r="C275" t="s">
        <v>1588</v>
      </c>
    </row>
    <row r="276" spans="1:3" ht="12.75">
      <c r="A276">
        <v>272</v>
      </c>
      <c r="B276" s="110">
        <v>40084</v>
      </c>
      <c r="C276" s="37" t="s">
        <v>1589</v>
      </c>
    </row>
    <row r="277" spans="1:3" ht="12.75">
      <c r="A277">
        <v>273</v>
      </c>
      <c r="B277" s="110">
        <v>40085</v>
      </c>
      <c r="C277" t="s">
        <v>1590</v>
      </c>
    </row>
    <row r="278" spans="1:3" ht="12.75">
      <c r="A278">
        <v>274</v>
      </c>
      <c r="B278" s="110">
        <v>40086</v>
      </c>
      <c r="C278" t="s">
        <v>1591</v>
      </c>
    </row>
    <row r="279" spans="1:3" ht="12.75">
      <c r="A279">
        <v>275</v>
      </c>
      <c r="B279" s="110">
        <v>40087</v>
      </c>
      <c r="C279" t="s">
        <v>1592</v>
      </c>
    </row>
    <row r="280" spans="1:4" ht="12.75">
      <c r="A280">
        <v>276</v>
      </c>
      <c r="B280" s="110">
        <v>40088</v>
      </c>
      <c r="C280" s="97" t="s">
        <v>1123</v>
      </c>
      <c r="D280" s="108"/>
    </row>
    <row r="281" spans="1:4" ht="12.75">
      <c r="A281">
        <v>277</v>
      </c>
      <c r="B281" s="110">
        <v>40089</v>
      </c>
      <c r="C281" s="97" t="s">
        <v>1663</v>
      </c>
      <c r="D281" s="108"/>
    </row>
    <row r="282" spans="1:8" ht="12.75">
      <c r="A282">
        <v>278</v>
      </c>
      <c r="B282" s="110">
        <v>40090</v>
      </c>
      <c r="C282" t="s">
        <v>1593</v>
      </c>
      <c r="H282" s="32"/>
    </row>
    <row r="283" spans="1:3" ht="12.75">
      <c r="A283">
        <v>279</v>
      </c>
      <c r="B283" s="110">
        <v>40091</v>
      </c>
      <c r="C283" s="37" t="s">
        <v>1594</v>
      </c>
    </row>
    <row r="284" spans="1:3" ht="12.75">
      <c r="A284">
        <v>280</v>
      </c>
      <c r="B284" s="110">
        <v>40092</v>
      </c>
      <c r="C284" s="37" t="s">
        <v>1595</v>
      </c>
    </row>
    <row r="285" spans="1:4" ht="12.75">
      <c r="A285">
        <v>281</v>
      </c>
      <c r="B285" s="110">
        <v>40093</v>
      </c>
      <c r="C285" s="108" t="s">
        <v>1737</v>
      </c>
      <c r="D285" t="s">
        <v>1040</v>
      </c>
    </row>
    <row r="286" spans="1:4" ht="12.75">
      <c r="A286">
        <v>282</v>
      </c>
      <c r="B286" s="110">
        <v>40094</v>
      </c>
      <c r="C286" s="97" t="s">
        <v>1662</v>
      </c>
      <c r="D286" s="108"/>
    </row>
    <row r="287" spans="1:4" ht="12.75">
      <c r="A287">
        <v>283</v>
      </c>
      <c r="B287" s="110">
        <v>40095</v>
      </c>
      <c r="C287" t="s">
        <v>1601</v>
      </c>
      <c r="D287" s="108" t="s">
        <v>2217</v>
      </c>
    </row>
    <row r="288" spans="1:3" ht="12.75">
      <c r="A288">
        <v>284</v>
      </c>
      <c r="B288" s="110">
        <v>40096</v>
      </c>
      <c r="C288" s="37" t="s">
        <v>1602</v>
      </c>
    </row>
    <row r="289" spans="1:3" ht="12.75">
      <c r="A289">
        <v>285</v>
      </c>
      <c r="B289" s="110">
        <v>40097</v>
      </c>
      <c r="C289" s="37" t="s">
        <v>1124</v>
      </c>
    </row>
    <row r="290" spans="1:3" ht="12.75">
      <c r="A290">
        <v>286</v>
      </c>
      <c r="B290" s="110">
        <v>40098</v>
      </c>
      <c r="C290" s="37" t="s">
        <v>1107</v>
      </c>
    </row>
    <row r="291" spans="1:3" ht="12.75">
      <c r="A291">
        <v>287</v>
      </c>
      <c r="B291" s="110">
        <v>40099</v>
      </c>
      <c r="C291" s="37" t="s">
        <v>1603</v>
      </c>
    </row>
    <row r="292" spans="1:3" ht="12.75">
      <c r="A292">
        <v>288</v>
      </c>
      <c r="B292" s="110">
        <v>40100</v>
      </c>
      <c r="C292" t="s">
        <v>1604</v>
      </c>
    </row>
    <row r="293" spans="1:8" ht="12.75">
      <c r="A293">
        <v>289</v>
      </c>
      <c r="B293" s="110">
        <v>40101</v>
      </c>
      <c r="C293" s="97" t="s">
        <v>1658</v>
      </c>
      <c r="D293" s="108"/>
      <c r="H293" s="32"/>
    </row>
    <row r="294" spans="1:4" ht="12.75">
      <c r="A294">
        <v>290</v>
      </c>
      <c r="B294" s="110">
        <v>40102</v>
      </c>
      <c r="C294" s="97" t="s">
        <v>1659</v>
      </c>
      <c r="D294" s="108"/>
    </row>
    <row r="295" spans="1:4" ht="12.75">
      <c r="A295">
        <v>291</v>
      </c>
      <c r="B295" s="110">
        <v>40103</v>
      </c>
      <c r="C295" s="97" t="s">
        <v>1660</v>
      </c>
      <c r="D295" s="108"/>
    </row>
    <row r="296" spans="1:3" ht="12.75">
      <c r="A296">
        <v>292</v>
      </c>
      <c r="B296" s="110">
        <v>40104</v>
      </c>
      <c r="C296" s="32" t="s">
        <v>1757</v>
      </c>
    </row>
    <row r="297" spans="1:3" ht="12.75">
      <c r="A297">
        <v>293</v>
      </c>
      <c r="B297" s="110">
        <v>40105</v>
      </c>
      <c r="C297" s="37" t="s">
        <v>1605</v>
      </c>
    </row>
    <row r="298" spans="1:3" ht="12.75">
      <c r="A298">
        <v>294</v>
      </c>
      <c r="B298" s="110">
        <v>40106</v>
      </c>
      <c r="C298" s="37" t="s">
        <v>1606</v>
      </c>
    </row>
    <row r="299" spans="1:4" ht="12.75">
      <c r="A299">
        <v>295</v>
      </c>
      <c r="B299" s="110">
        <v>40107</v>
      </c>
      <c r="C299" s="32" t="s">
        <v>1738</v>
      </c>
      <c r="D299" s="32" t="s">
        <v>2214</v>
      </c>
    </row>
    <row r="300" spans="1:4" ht="12.75">
      <c r="A300">
        <v>296</v>
      </c>
      <c r="B300" s="110">
        <v>40108</v>
      </c>
      <c r="C300" s="97" t="s">
        <v>1661</v>
      </c>
      <c r="D300" s="108"/>
    </row>
    <row r="301" spans="1:3" ht="12.75">
      <c r="A301">
        <v>297</v>
      </c>
      <c r="B301" s="110">
        <v>40109</v>
      </c>
      <c r="C301" s="37" t="s">
        <v>1607</v>
      </c>
    </row>
    <row r="302" spans="1:3" ht="12.75">
      <c r="A302">
        <v>298</v>
      </c>
      <c r="B302" s="110">
        <v>40110</v>
      </c>
      <c r="C302" s="37" t="s">
        <v>1608</v>
      </c>
    </row>
    <row r="303" spans="1:3" ht="12.75">
      <c r="A303">
        <v>299</v>
      </c>
      <c r="B303" s="110">
        <v>40111</v>
      </c>
      <c r="C303" t="s">
        <v>1609</v>
      </c>
    </row>
    <row r="304" spans="1:3" ht="12.75">
      <c r="A304">
        <v>300</v>
      </c>
      <c r="B304" s="110">
        <v>40112</v>
      </c>
      <c r="C304" t="s">
        <v>1610</v>
      </c>
    </row>
    <row r="305" spans="1:3" ht="12.75">
      <c r="A305">
        <v>301</v>
      </c>
      <c r="B305" s="110">
        <v>40113</v>
      </c>
      <c r="C305" s="37" t="s">
        <v>1611</v>
      </c>
    </row>
    <row r="306" spans="1:3" ht="12.75">
      <c r="A306">
        <v>302</v>
      </c>
      <c r="B306" s="110">
        <v>40114</v>
      </c>
      <c r="C306" t="s">
        <v>1612</v>
      </c>
    </row>
    <row r="307" spans="1:3" ht="12.75">
      <c r="A307">
        <v>303</v>
      </c>
      <c r="B307" s="110">
        <v>40115</v>
      </c>
      <c r="C307" s="37" t="s">
        <v>1613</v>
      </c>
    </row>
    <row r="308" spans="1:3" ht="12.75">
      <c r="A308">
        <v>304</v>
      </c>
      <c r="B308" s="110">
        <v>40116</v>
      </c>
      <c r="C308" s="97" t="s">
        <v>1762</v>
      </c>
    </row>
    <row r="309" spans="1:3" ht="12.75">
      <c r="A309">
        <v>305</v>
      </c>
      <c r="B309" s="110">
        <v>40117</v>
      </c>
      <c r="C309" s="37" t="s">
        <v>1614</v>
      </c>
    </row>
    <row r="310" spans="1:7" ht="12.75">
      <c r="A310">
        <v>306</v>
      </c>
      <c r="B310" s="110">
        <v>40118</v>
      </c>
      <c r="C310" t="s">
        <v>1125</v>
      </c>
      <c r="E310" t="s">
        <v>1189</v>
      </c>
      <c r="G310" s="21"/>
    </row>
    <row r="311" spans="1:5" ht="12.75">
      <c r="A311">
        <v>307</v>
      </c>
      <c r="B311" s="110">
        <v>40119</v>
      </c>
      <c r="C311" t="s">
        <v>1108</v>
      </c>
      <c r="E311" t="s">
        <v>1190</v>
      </c>
    </row>
    <row r="312" spans="1:3" ht="12.75">
      <c r="A312">
        <v>308</v>
      </c>
      <c r="B312" s="110">
        <v>40120</v>
      </c>
      <c r="C312" s="37" t="s">
        <v>1416</v>
      </c>
    </row>
    <row r="313" spans="1:4" ht="12.75">
      <c r="A313">
        <v>309</v>
      </c>
      <c r="B313" s="110">
        <v>40121</v>
      </c>
      <c r="C313" s="109" t="s">
        <v>1739</v>
      </c>
      <c r="D313" t="s">
        <v>1615</v>
      </c>
    </row>
    <row r="314" spans="1:3" ht="12.75">
      <c r="A314">
        <v>310</v>
      </c>
      <c r="B314" s="110">
        <v>40122</v>
      </c>
      <c r="C314" s="37" t="s">
        <v>1616</v>
      </c>
    </row>
    <row r="315" spans="1:3" ht="12.75">
      <c r="A315">
        <v>311</v>
      </c>
      <c r="B315" s="110">
        <v>40123</v>
      </c>
      <c r="C315" s="37" t="s">
        <v>1617</v>
      </c>
    </row>
    <row r="316" spans="1:3" ht="12.75">
      <c r="A316">
        <v>312</v>
      </c>
      <c r="B316" s="110">
        <v>40124</v>
      </c>
      <c r="C316" s="37" t="s">
        <v>1618</v>
      </c>
    </row>
    <row r="317" spans="1:4" ht="12.75">
      <c r="A317">
        <v>313</v>
      </c>
      <c r="B317" s="110">
        <v>40125</v>
      </c>
      <c r="C317" s="32" t="s">
        <v>1141</v>
      </c>
      <c r="D317" s="108"/>
    </row>
    <row r="318" spans="1:4" ht="12.75">
      <c r="A318">
        <v>314</v>
      </c>
      <c r="B318" s="110">
        <v>40126</v>
      </c>
      <c r="C318" s="32" t="s">
        <v>1142</v>
      </c>
      <c r="D318" s="108"/>
    </row>
    <row r="319" spans="1:4" ht="12.75">
      <c r="A319">
        <v>315</v>
      </c>
      <c r="B319" s="110">
        <v>40127</v>
      </c>
      <c r="C319" s="109" t="s">
        <v>1740</v>
      </c>
      <c r="D319" t="s">
        <v>1619</v>
      </c>
    </row>
    <row r="320" spans="1:3" ht="12.75">
      <c r="A320">
        <v>316</v>
      </c>
      <c r="B320" s="110">
        <v>40128</v>
      </c>
      <c r="C320" t="s">
        <v>1620</v>
      </c>
    </row>
    <row r="321" spans="1:3" ht="12.75">
      <c r="A321">
        <v>317</v>
      </c>
      <c r="B321" s="110">
        <v>40129</v>
      </c>
      <c r="C321" t="s">
        <v>1621</v>
      </c>
    </row>
    <row r="322" spans="1:3" ht="12.75">
      <c r="A322">
        <v>318</v>
      </c>
      <c r="B322" s="110">
        <v>40130</v>
      </c>
      <c r="C322" s="37" t="s">
        <v>1622</v>
      </c>
    </row>
    <row r="323" spans="1:3" ht="12.75">
      <c r="A323">
        <v>319</v>
      </c>
      <c r="B323" s="110">
        <v>40131</v>
      </c>
      <c r="C323" s="37" t="s">
        <v>1623</v>
      </c>
    </row>
    <row r="324" spans="1:3" ht="12.75">
      <c r="A324">
        <v>320</v>
      </c>
      <c r="B324" s="110">
        <v>40132</v>
      </c>
      <c r="C324" s="37" t="s">
        <v>1624</v>
      </c>
    </row>
    <row r="325" spans="1:4" ht="12.75">
      <c r="A325">
        <v>321</v>
      </c>
      <c r="B325" s="110">
        <v>40133</v>
      </c>
      <c r="C325" s="97" t="s">
        <v>1657</v>
      </c>
      <c r="D325" s="108"/>
    </row>
    <row r="326" spans="1:3" ht="12.75">
      <c r="A326">
        <v>322</v>
      </c>
      <c r="B326" s="110">
        <v>40134</v>
      </c>
      <c r="C326" t="s">
        <v>1625</v>
      </c>
    </row>
    <row r="327" spans="1:4" ht="12.75">
      <c r="A327">
        <v>323</v>
      </c>
      <c r="B327" s="110">
        <v>40135</v>
      </c>
      <c r="C327" s="32" t="s">
        <v>1143</v>
      </c>
      <c r="D327" s="108"/>
    </row>
    <row r="328" spans="1:4" ht="12.75">
      <c r="A328">
        <v>324</v>
      </c>
      <c r="B328" s="110">
        <v>40136</v>
      </c>
      <c r="C328" t="s">
        <v>1626</v>
      </c>
      <c r="D328" s="108" t="s">
        <v>1764</v>
      </c>
    </row>
    <row r="329" spans="1:3" ht="12.75">
      <c r="A329">
        <v>325</v>
      </c>
      <c r="B329" s="110">
        <v>40137</v>
      </c>
      <c r="C329" s="37" t="s">
        <v>1627</v>
      </c>
    </row>
    <row r="330" spans="1:3" ht="12.75">
      <c r="A330">
        <v>326</v>
      </c>
      <c r="B330" s="110">
        <v>40138</v>
      </c>
      <c r="C330" s="37" t="s">
        <v>1147</v>
      </c>
    </row>
    <row r="331" spans="1:4" ht="12.75">
      <c r="A331">
        <v>327</v>
      </c>
      <c r="B331" s="110">
        <v>40139</v>
      </c>
      <c r="C331" s="32" t="s">
        <v>1653</v>
      </c>
      <c r="D331" s="108"/>
    </row>
    <row r="332" spans="1:3" ht="12.75">
      <c r="A332">
        <v>328</v>
      </c>
      <c r="B332" s="110">
        <v>40140</v>
      </c>
      <c r="C332" t="s">
        <v>1628</v>
      </c>
    </row>
    <row r="333" spans="1:4" ht="12.75">
      <c r="A333">
        <v>329</v>
      </c>
      <c r="B333" s="110">
        <v>40141</v>
      </c>
      <c r="C333" s="32" t="s">
        <v>1741</v>
      </c>
      <c r="D333" t="s">
        <v>1629</v>
      </c>
    </row>
    <row r="334" spans="1:4" ht="12.75">
      <c r="A334">
        <v>330</v>
      </c>
      <c r="B334" s="110">
        <v>40142</v>
      </c>
      <c r="C334" s="32" t="s">
        <v>1654</v>
      </c>
      <c r="D334" s="108"/>
    </row>
    <row r="335" spans="1:4" ht="12.75">
      <c r="A335">
        <v>331</v>
      </c>
      <c r="B335" s="110">
        <v>40143</v>
      </c>
      <c r="C335" s="32" t="s">
        <v>1742</v>
      </c>
      <c r="D335" t="s">
        <v>1630</v>
      </c>
    </row>
    <row r="336" spans="1:4" ht="12.75">
      <c r="A336">
        <v>332</v>
      </c>
      <c r="B336" s="110">
        <v>40144</v>
      </c>
      <c r="C336" s="97" t="s">
        <v>1144</v>
      </c>
      <c r="D336" s="108"/>
    </row>
    <row r="337" spans="1:4" ht="12.75">
      <c r="A337">
        <v>333</v>
      </c>
      <c r="B337" s="110">
        <v>40145</v>
      </c>
      <c r="C337" s="97" t="s">
        <v>1655</v>
      </c>
      <c r="D337" s="108"/>
    </row>
    <row r="338" spans="1:3" ht="12.75">
      <c r="A338">
        <v>334</v>
      </c>
      <c r="B338" s="110">
        <v>40146</v>
      </c>
      <c r="C338" t="s">
        <v>1631</v>
      </c>
    </row>
    <row r="339" spans="1:3" ht="12.75">
      <c r="A339">
        <v>335</v>
      </c>
      <c r="B339" s="110">
        <v>40147</v>
      </c>
      <c r="C339" t="s">
        <v>1632</v>
      </c>
    </row>
    <row r="340" spans="1:3" ht="12.75">
      <c r="A340">
        <v>336</v>
      </c>
      <c r="B340" s="110">
        <v>40148</v>
      </c>
      <c r="C340" s="37" t="s">
        <v>1633</v>
      </c>
    </row>
    <row r="341" spans="1:4" ht="12.75">
      <c r="A341">
        <v>337</v>
      </c>
      <c r="B341" s="110">
        <v>40149</v>
      </c>
      <c r="C341" s="32" t="s">
        <v>1656</v>
      </c>
      <c r="D341" s="108"/>
    </row>
    <row r="342" spans="1:3" ht="12.75">
      <c r="A342">
        <v>338</v>
      </c>
      <c r="B342" s="110">
        <v>40150</v>
      </c>
      <c r="C342" s="37" t="s">
        <v>1634</v>
      </c>
    </row>
    <row r="343" spans="1:4" ht="12.75">
      <c r="A343">
        <v>339</v>
      </c>
      <c r="B343" s="110">
        <v>40151</v>
      </c>
      <c r="C343" s="32" t="s">
        <v>1743</v>
      </c>
      <c r="D343" t="s">
        <v>1635</v>
      </c>
    </row>
    <row r="344" spans="1:3" ht="12.75">
      <c r="A344">
        <v>340</v>
      </c>
      <c r="B344" s="110">
        <v>40152</v>
      </c>
      <c r="C344" t="s">
        <v>1636</v>
      </c>
    </row>
    <row r="345" spans="1:9" ht="12.75">
      <c r="A345">
        <v>341</v>
      </c>
      <c r="B345" s="110">
        <v>40153</v>
      </c>
      <c r="C345" t="s">
        <v>1637</v>
      </c>
      <c r="I345" s="32"/>
    </row>
    <row r="346" spans="1:3" ht="12.75">
      <c r="A346">
        <v>342</v>
      </c>
      <c r="B346" s="110">
        <v>40154</v>
      </c>
      <c r="C346" t="s">
        <v>1638</v>
      </c>
    </row>
    <row r="347" spans="1:3" ht="12.75">
      <c r="A347">
        <v>343</v>
      </c>
      <c r="B347" s="110">
        <v>40155</v>
      </c>
      <c r="C347" t="s">
        <v>1041</v>
      </c>
    </row>
    <row r="348" spans="1:4" ht="12.75">
      <c r="A348">
        <v>344</v>
      </c>
      <c r="B348" s="110">
        <v>40156</v>
      </c>
      <c r="C348" s="97" t="s">
        <v>1652</v>
      </c>
      <c r="D348" s="108"/>
    </row>
    <row r="349" spans="1:4" ht="12.75">
      <c r="A349">
        <v>345</v>
      </c>
      <c r="B349" s="110">
        <v>40157</v>
      </c>
      <c r="C349" s="32" t="s">
        <v>1744</v>
      </c>
      <c r="D349" t="s">
        <v>1145</v>
      </c>
    </row>
    <row r="350" spans="1:3" ht="12.75">
      <c r="A350">
        <v>346</v>
      </c>
      <c r="B350" s="110">
        <v>40158</v>
      </c>
      <c r="C350" t="s">
        <v>1639</v>
      </c>
    </row>
    <row r="351" spans="1:3" ht="12.75">
      <c r="A351">
        <v>347</v>
      </c>
      <c r="B351" s="110">
        <v>40159</v>
      </c>
      <c r="C351" s="37" t="s">
        <v>1097</v>
      </c>
    </row>
    <row r="352" spans="1:4" ht="12.75">
      <c r="A352">
        <v>348</v>
      </c>
      <c r="B352" s="110">
        <v>40160</v>
      </c>
      <c r="C352" s="32" t="s">
        <v>1651</v>
      </c>
      <c r="D352" s="108"/>
    </row>
    <row r="353" spans="1:3" ht="12.75">
      <c r="A353">
        <v>349</v>
      </c>
      <c r="B353" s="110">
        <v>40161</v>
      </c>
      <c r="C353" s="37" t="s">
        <v>1640</v>
      </c>
    </row>
    <row r="354" spans="1:3" ht="12.75">
      <c r="A354">
        <v>350</v>
      </c>
      <c r="B354" s="110">
        <v>40162</v>
      </c>
      <c r="C354" s="37" t="s">
        <v>1641</v>
      </c>
    </row>
    <row r="355" spans="1:3" ht="12.75">
      <c r="A355">
        <v>351</v>
      </c>
      <c r="B355" s="110">
        <v>40163</v>
      </c>
      <c r="C355" s="37" t="s">
        <v>1433</v>
      </c>
    </row>
    <row r="356" spans="1:3" ht="12.75">
      <c r="A356">
        <v>352</v>
      </c>
      <c r="B356" s="110">
        <v>40164</v>
      </c>
      <c r="C356" s="37" t="s">
        <v>1642</v>
      </c>
    </row>
    <row r="357" spans="1:3" ht="12.75">
      <c r="A357">
        <v>353</v>
      </c>
      <c r="B357" s="110">
        <v>40165</v>
      </c>
      <c r="C357" s="37" t="s">
        <v>1146</v>
      </c>
    </row>
    <row r="358" spans="1:3" ht="12.75">
      <c r="A358">
        <v>354</v>
      </c>
      <c r="B358" s="110">
        <v>40166</v>
      </c>
      <c r="C358" s="37" t="s">
        <v>1614</v>
      </c>
    </row>
    <row r="359" spans="1:3" ht="12.75">
      <c r="A359">
        <v>355</v>
      </c>
      <c r="B359" s="110">
        <v>40167</v>
      </c>
      <c r="C359" s="37" t="s">
        <v>1643</v>
      </c>
    </row>
    <row r="360" spans="1:3" ht="12.75">
      <c r="A360">
        <v>356</v>
      </c>
      <c r="B360" s="110">
        <v>40168</v>
      </c>
      <c r="C360" t="s">
        <v>1644</v>
      </c>
    </row>
    <row r="361" spans="1:3" ht="12.75">
      <c r="A361">
        <v>357</v>
      </c>
      <c r="B361" s="110">
        <v>40169</v>
      </c>
      <c r="C361" s="37" t="s">
        <v>1645</v>
      </c>
    </row>
    <row r="362" spans="1:4" ht="12.75">
      <c r="A362">
        <v>358</v>
      </c>
      <c r="B362" s="110">
        <v>40170</v>
      </c>
      <c r="C362" s="37" t="s">
        <v>1386</v>
      </c>
      <c r="D362" s="108" t="s">
        <v>1753</v>
      </c>
    </row>
    <row r="363" spans="1:5" ht="12.75">
      <c r="A363">
        <v>359</v>
      </c>
      <c r="B363" s="110">
        <v>40171</v>
      </c>
      <c r="C363" s="37" t="s">
        <v>1646</v>
      </c>
      <c r="E363" t="s">
        <v>1192</v>
      </c>
    </row>
    <row r="364" spans="1:9" ht="12.75">
      <c r="A364">
        <v>360</v>
      </c>
      <c r="B364" s="110">
        <v>40172</v>
      </c>
      <c r="C364" s="32" t="s">
        <v>1039</v>
      </c>
      <c r="D364" s="108"/>
      <c r="E364" t="s">
        <v>1039</v>
      </c>
      <c r="I364" s="32"/>
    </row>
    <row r="365" spans="1:9" ht="12.75">
      <c r="A365">
        <v>361</v>
      </c>
      <c r="B365" s="110">
        <v>40173</v>
      </c>
      <c r="C365" t="s">
        <v>1647</v>
      </c>
      <c r="I365" s="32"/>
    </row>
    <row r="366" spans="1:9" ht="12.75">
      <c r="A366">
        <v>362</v>
      </c>
      <c r="B366" s="110">
        <v>40174</v>
      </c>
      <c r="C366" s="32" t="s">
        <v>1756</v>
      </c>
      <c r="I366" s="32"/>
    </row>
    <row r="367" spans="1:9" ht="12.75">
      <c r="A367">
        <v>363</v>
      </c>
      <c r="B367" s="110">
        <v>40175</v>
      </c>
      <c r="C367" s="32" t="s">
        <v>1650</v>
      </c>
      <c r="D367" s="108"/>
      <c r="E367" t="s">
        <v>1188</v>
      </c>
      <c r="I367" s="32"/>
    </row>
    <row r="368" spans="1:3" ht="12.75">
      <c r="A368">
        <v>364</v>
      </c>
      <c r="B368" s="110">
        <v>40176</v>
      </c>
      <c r="C368" t="s">
        <v>1648</v>
      </c>
    </row>
    <row r="369" spans="1:3" ht="12.75">
      <c r="A369">
        <v>365</v>
      </c>
      <c r="B369" s="110">
        <v>40177</v>
      </c>
      <c r="C369" s="37" t="s">
        <v>1649</v>
      </c>
    </row>
    <row r="370" spans="1:9" ht="12.75">
      <c r="A370">
        <v>366</v>
      </c>
      <c r="B370" s="110">
        <v>40178</v>
      </c>
      <c r="C370" t="s">
        <v>1630</v>
      </c>
      <c r="E370" t="s">
        <v>1044</v>
      </c>
      <c r="I370" s="32"/>
    </row>
    <row r="371" ht="12.75">
      <c r="B371" s="49"/>
    </row>
    <row r="372" ht="12.75">
      <c r="B372" s="49"/>
    </row>
    <row r="373" ht="12.75">
      <c r="B373" s="112" t="s">
        <v>1760</v>
      </c>
    </row>
    <row r="374" ht="12.75">
      <c r="B374" s="111" t="s">
        <v>1711</v>
      </c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</sheetData>
  <sheetProtection/>
  <hyperlinks>
    <hyperlink ref="B374" r:id="rId1" display="http://en.wikipedia.org/wiki/Tridentine_Calendar"/>
  </hyperlinks>
  <printOptions/>
  <pageMargins left="0.75" right="0.75" top="1" bottom="1" header="0" footer="0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V67"/>
  <sheetViews>
    <sheetView showGridLines="0" showRowColHeaders="0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3.7109375" style="0" customWidth="1"/>
    <col min="3" max="3" width="14.7109375" style="0" customWidth="1"/>
    <col min="4" max="4" width="15.8515625" style="0" customWidth="1"/>
    <col min="5" max="8" width="8.7109375" style="0" customWidth="1"/>
    <col min="9" max="9" width="12.7109375" style="0" customWidth="1"/>
    <col min="10" max="10" width="5.7109375" style="0" customWidth="1"/>
    <col min="11" max="11" width="11.421875" style="0" customWidth="1"/>
    <col min="12" max="15" width="11.421875" style="0" hidden="1" customWidth="1"/>
    <col min="16" max="16" width="12.28125" style="0" hidden="1" customWidth="1"/>
    <col min="17" max="19" width="0" style="0" hidden="1" customWidth="1"/>
    <col min="20" max="22" width="15.7109375" style="0" hidden="1" customWidth="1"/>
  </cols>
  <sheetData>
    <row r="1" spans="2:20" ht="15.75">
      <c r="B1" s="126" t="s">
        <v>2020</v>
      </c>
      <c r="T1" s="2" t="s">
        <v>2209</v>
      </c>
    </row>
    <row r="2" spans="14:20" ht="12.75">
      <c r="N2" s="68"/>
      <c r="O2" s="100"/>
      <c r="P2" s="5"/>
      <c r="T2" s="261" t="s">
        <v>2210</v>
      </c>
    </row>
    <row r="3" spans="2:10" ht="12.75">
      <c r="B3" s="77" t="s">
        <v>1399</v>
      </c>
      <c r="C3" s="89"/>
      <c r="D3" s="78"/>
      <c r="E3" s="78"/>
      <c r="F3" s="78"/>
      <c r="G3" s="78"/>
      <c r="H3" s="78"/>
      <c r="I3" s="78"/>
      <c r="J3" s="78"/>
    </row>
    <row r="4" spans="2:22" ht="12.75">
      <c r="B4" s="78"/>
      <c r="C4" s="78"/>
      <c r="D4" s="117" t="s">
        <v>2021</v>
      </c>
      <c r="E4" s="122" t="s">
        <v>186</v>
      </c>
      <c r="F4" s="122" t="s">
        <v>184</v>
      </c>
      <c r="G4" s="124" t="s">
        <v>2022</v>
      </c>
      <c r="H4" s="121"/>
      <c r="I4" s="120" t="s">
        <v>9</v>
      </c>
      <c r="J4" s="121"/>
      <c r="L4" s="32" t="s">
        <v>1020</v>
      </c>
      <c r="M4" s="32"/>
      <c r="O4">
        <v>1</v>
      </c>
      <c r="P4" t="s">
        <v>170</v>
      </c>
      <c r="T4" s="2" t="s">
        <v>2211</v>
      </c>
      <c r="U4" s="2" t="s">
        <v>2212</v>
      </c>
      <c r="V4" s="2" t="s">
        <v>2213</v>
      </c>
    </row>
    <row r="5" spans="5:22" ht="12.75">
      <c r="E5" s="5"/>
      <c r="F5" s="5"/>
      <c r="G5" s="5"/>
      <c r="L5" s="32" t="s">
        <v>1021</v>
      </c>
      <c r="M5" s="32"/>
      <c r="O5">
        <v>2</v>
      </c>
      <c r="P5" t="s">
        <v>171</v>
      </c>
      <c r="T5" t="str">
        <f>Datos!A5</f>
        <v>Mujer</v>
      </c>
      <c r="U5" t="str">
        <f>Datos!M5</f>
        <v>Benteveo</v>
      </c>
      <c r="V5" t="str">
        <f>Datos!W5</f>
        <v>Trigo ciclo largo II N</v>
      </c>
    </row>
    <row r="6" spans="3:22" ht="12.75">
      <c r="C6" s="80" t="s">
        <v>1000</v>
      </c>
      <c r="D6" s="251" t="s">
        <v>1021</v>
      </c>
      <c r="E6" s="250">
        <v>30</v>
      </c>
      <c r="F6" s="250">
        <v>3</v>
      </c>
      <c r="G6" s="250">
        <v>2016</v>
      </c>
      <c r="H6" s="260">
        <f>IF(MOD(G6,400)=0,1,IF(AND(MOD(G6,100)&lt;&gt;0,MOD(G6,4)=0),1,0))</f>
        <v>1</v>
      </c>
      <c r="I6" s="84" t="str">
        <f>IF(D6="juliano",VLOOKUP(IF(M7+INT(-M7/7+1)*7+5&gt;7,M7+INT(-M7/7+1)*7-2,M7+INT(-M7/7+1)*7+5),$O$4:$P$10,2),VLOOKUP(M7+INT(-M7/7+1)*7,$O$4:$P$10,2))</f>
        <v>Miércoles</v>
      </c>
      <c r="J6" s="84"/>
      <c r="L6" s="68" t="s">
        <v>1357</v>
      </c>
      <c r="M6">
        <f>IF(D6=D8,0,2)</f>
        <v>0</v>
      </c>
      <c r="O6">
        <v>3</v>
      </c>
      <c r="P6" t="s">
        <v>172</v>
      </c>
      <c r="T6" t="str">
        <f>Datos!A6</f>
        <v>Alpaca</v>
      </c>
      <c r="U6" t="str">
        <f>Datos!M6</f>
        <v>Calandria</v>
      </c>
      <c r="V6" t="str">
        <f>Datos!W6</f>
        <v>Trigo ciclo largo IV</v>
      </c>
    </row>
    <row r="7" spans="4:22" ht="12.75">
      <c r="D7" s="80">
        <f>IF(OR(AND(D6="juliano",$M$7&gt;578102),AND(D6="gregoriano",$M$7&lt;578101)),"Error en calendario","")</f>
      </c>
      <c r="E7" s="123">
        <f>IF(E6&gt;31,"Error",IF(AND(E6&gt;30,OR(F6=4,F6=6,F6=9,F6=11)),"Error",IF(AND(E6&gt;29,F6=2,H6=1),"Error",IF(AND(E6&gt;28,F6=2,H6=0),"Error",""))))</f>
      </c>
      <c r="F7" s="5">
        <f>IF(F6&gt;12,"Error","")</f>
      </c>
      <c r="G7" s="92">
        <f>IF(AND(G6=1582,F6&gt;4,E6&lt;15),"El día "&amp;E6&amp;"/"&amp;F6&amp;"/"&amp;G6&amp;" fue eliminado al introducirse el calendario gregoriano","")</f>
      </c>
      <c r="H7" s="75"/>
      <c r="L7" s="68" t="s">
        <v>1355</v>
      </c>
      <c r="M7" s="41">
        <f>IF(D6="juliano",365*G6+31*(F6-1)+E6+IF(F6&lt;3,INT((G6-1)/4),INT(G6/4)-INT(0.4*F6+2.3)),365*G6+31*(F6-1)+E6+IF(F6&lt;3,INT((G6-1)/4)-INT(INT((G6-1)/100+1)*0.75),INT(G6/4)-INT(0.4*F6+2.3)-INT(INT((G6-1)/100+1)*0.75)))</f>
        <v>736418</v>
      </c>
      <c r="O7">
        <v>4</v>
      </c>
      <c r="P7" t="s">
        <v>173</v>
      </c>
      <c r="T7" t="str">
        <f>Datos!A7</f>
        <v>Ballena franca austral</v>
      </c>
      <c r="U7" t="str">
        <f>Datos!M7</f>
        <v>Canario</v>
      </c>
      <c r="V7" t="str">
        <f>Datos!W7</f>
        <v>Trigo ciclo corto II N</v>
      </c>
    </row>
    <row r="8" spans="2:22" ht="12.75">
      <c r="B8" s="80"/>
      <c r="C8" s="80" t="s">
        <v>1001</v>
      </c>
      <c r="D8" s="251" t="s">
        <v>1021</v>
      </c>
      <c r="E8" s="252">
        <v>28</v>
      </c>
      <c r="F8" s="250">
        <v>2</v>
      </c>
      <c r="G8" s="250">
        <v>2023</v>
      </c>
      <c r="H8" s="260">
        <f>IF(MOD(G8,400)=0,1,IF(AND(MOD(G8,100)&lt;&gt;0,MOD(G8,4)=0),1,0))</f>
        <v>0</v>
      </c>
      <c r="I8" s="84" t="str">
        <f>IF(D8="juliano",VLOOKUP(IF(M8+INT(-M8/7+1)*7+5&gt;7,M8+INT(-M8/7+1)*7-2,M8+INT(-M8/7+1)*7+5),$O$4:$P$10,2),VLOOKUP(M8+INT(-M8/7+1)*7,$O$4:$P$10,2))</f>
        <v>Martes</v>
      </c>
      <c r="J8" s="84"/>
      <c r="L8" s="68" t="s">
        <v>1354</v>
      </c>
      <c r="M8" s="41">
        <f>IF(D8="juliano",365*G8+31*(F8-1)+E8+IF(F8&lt;3,INT((G8-1)/4),INT(G8/4)-INT(0.4*F8+2.3)),365*G8+31*(F8-1)+E8+IF(F8&lt;3,INT((G8-1)/4)-INT(INT((G8-1)/100+1)*0.75),INT(G8/4)-INT(0.4*F8+2.3)-INT(INT((G8-1)/100+1)*0.75)))</f>
        <v>738944</v>
      </c>
      <c r="O8">
        <v>5</v>
      </c>
      <c r="P8" t="s">
        <v>174</v>
      </c>
      <c r="T8" t="str">
        <f>Datos!A8</f>
        <v>Bisonte americano</v>
      </c>
      <c r="U8" t="str">
        <f>Datos!M8</f>
        <v>Carancho</v>
      </c>
      <c r="V8" t="str">
        <f>Datos!W8</f>
        <v>Trigo ciclo corto IV</v>
      </c>
    </row>
    <row r="9" spans="4:22" ht="12.75">
      <c r="D9" s="80">
        <f>IF(OR(AND(D8="juliano",$M$8&gt;578102),AND(D8="gregoriano",$M$8&lt;578101)),"Error en calendario","")</f>
      </c>
      <c r="E9" s="123">
        <f>IF(E8&gt;31,"Error",IF(AND(E8&gt;30,OR(F8=4,F8=6,F8=9,F8=11)),"Error",IF(AND(E8&gt;29,F8=2,H8=1),"Error",IF(AND(E8&gt;28,F8=2,H8=0),"Error",""))))</f>
      </c>
      <c r="F9" s="78">
        <f>IF(F8&gt;12,"Error","")</f>
      </c>
      <c r="G9" s="92">
        <f>IF(AND(G8=1582,F8&gt;4,E8&lt;15),"El día "&amp;E8&amp;"/"&amp;F8&amp;"/"&amp;G8&amp;" fue eliminado al introducirse el calendario gregoriano","")</f>
      </c>
      <c r="H9" s="48"/>
      <c r="O9">
        <v>6</v>
      </c>
      <c r="P9" t="s">
        <v>175</v>
      </c>
      <c r="T9" t="str">
        <f>Datos!A9</f>
        <v>Bonobo</v>
      </c>
      <c r="U9" t="str">
        <f>Datos!M9</f>
        <v>Cardenal común</v>
      </c>
      <c r="V9" t="str">
        <f>Datos!W9</f>
        <v>Trigo candeal</v>
      </c>
    </row>
    <row r="10" spans="4:22" ht="12.75">
      <c r="D10" s="78"/>
      <c r="F10" s="90" t="s">
        <v>1366</v>
      </c>
      <c r="G10" s="153">
        <f>M8-M7+M6</f>
        <v>2526</v>
      </c>
      <c r="H10" s="91"/>
      <c r="L10" s="68" t="s">
        <v>1359</v>
      </c>
      <c r="M10" s="41">
        <f ca="1">365*YEAR(TODAY())+31*(MONTH(TODAY())-1)+DAY(TODAY())+IF(MONTH(TODAY())&lt;3,INT((YEAR(TODAY())-1)/4)-INT(INT((YEAR(TODAY())-1)/100+1)*0.75),INT(YEAR(TODAY())/4)-INT(0.4*MONTH(TODAY())+2.3)-INT(INT((YEAR(TODAY())-1)/100+1)*0.75))</f>
        <v>738884</v>
      </c>
      <c r="O10">
        <v>7</v>
      </c>
      <c r="P10" t="s">
        <v>176</v>
      </c>
      <c r="T10" t="str">
        <f>Datos!A10</f>
        <v>Búfala de agua</v>
      </c>
      <c r="U10" t="str">
        <f>Datos!M10</f>
        <v>Cauquén</v>
      </c>
      <c r="V10" t="str">
        <f>Datos!W10</f>
        <v>Alpiste</v>
      </c>
    </row>
    <row r="11" spans="2:22" ht="12.75">
      <c r="B11" s="80"/>
      <c r="C11" s="78"/>
      <c r="T11" t="str">
        <f>Datos!A11</f>
        <v>Burra</v>
      </c>
      <c r="U11" t="str">
        <f>Datos!M11</f>
        <v>Chajá</v>
      </c>
      <c r="V11" t="str">
        <f>Datos!W11</f>
        <v>Cebada cervecera</v>
      </c>
    </row>
    <row r="12" spans="2:22" ht="12.75">
      <c r="B12" s="92">
        <f>IF(AND(G6=1582,E6&gt;4,E6&lt;15),"El día "&amp;E6&amp;"/"&amp;F6&amp;"/"&amp;G6&amp;" fue eliminado al introducirse el calendario gregoriano","")</f>
      </c>
      <c r="C12" s="78"/>
      <c r="D12" s="90"/>
      <c r="E12" s="93"/>
      <c r="F12" s="93"/>
      <c r="G12" s="93"/>
      <c r="H12" s="93"/>
      <c r="I12" s="93"/>
      <c r="J12" s="93"/>
      <c r="L12" t="s">
        <v>1015</v>
      </c>
      <c r="T12" t="str">
        <f>Datos!A12</f>
        <v>Cabra</v>
      </c>
      <c r="U12" t="str">
        <f>Datos!M12</f>
        <v>Chimango</v>
      </c>
      <c r="V12" t="str">
        <f>Datos!W12</f>
        <v>Colza cv. invernales</v>
      </c>
    </row>
    <row r="13" spans="2:22" ht="12.75">
      <c r="B13" s="2" t="s">
        <v>1400</v>
      </c>
      <c r="D13" s="3"/>
      <c r="L13" t="s">
        <v>1016</v>
      </c>
      <c r="T13" t="str">
        <f>Datos!A13</f>
        <v>Camella</v>
      </c>
      <c r="U13" t="str">
        <f>Datos!M13</f>
        <v>Chingolo</v>
      </c>
      <c r="V13" t="str">
        <f>Datos!W13</f>
        <v>Colza cv. primaverales</v>
      </c>
    </row>
    <row r="14" spans="2:22" ht="12.75">
      <c r="B14" s="2"/>
      <c r="L14" t="s">
        <v>1017</v>
      </c>
      <c r="M14" s="63"/>
      <c r="T14" t="str">
        <f>Datos!A14</f>
        <v>Canguro rojo</v>
      </c>
      <c r="U14" t="str">
        <f>Datos!M14</f>
        <v>Choique</v>
      </c>
      <c r="V14" t="str">
        <f>Datos!W14</f>
        <v>Lino oleaginoso</v>
      </c>
    </row>
    <row r="15" spans="5:22" ht="12.75">
      <c r="E15" s="125" t="s">
        <v>186</v>
      </c>
      <c r="F15" s="122" t="s">
        <v>184</v>
      </c>
      <c r="G15" s="124" t="s">
        <v>2022</v>
      </c>
      <c r="H15" s="121"/>
      <c r="I15" s="120" t="s">
        <v>2023</v>
      </c>
      <c r="J15" s="121"/>
      <c r="L15" t="s">
        <v>1018</v>
      </c>
      <c r="T15" t="str">
        <f>Datos!A15</f>
        <v>Carpincho</v>
      </c>
      <c r="U15" t="str">
        <f>Datos!M15</f>
        <v>Cisne de cuello negro</v>
      </c>
      <c r="V15" t="str">
        <f>Datos!W15</f>
        <v>Lino textil</v>
      </c>
    </row>
    <row r="16" spans="5:22" ht="12.75">
      <c r="E16" s="5"/>
      <c r="F16" s="5"/>
      <c r="G16" s="5"/>
      <c r="L16" t="s">
        <v>1019</v>
      </c>
      <c r="T16" t="str">
        <f>Datos!A16</f>
        <v>Cebra común</v>
      </c>
      <c r="U16" t="str">
        <f>Datos!M16</f>
        <v>Cigüeña</v>
      </c>
      <c r="V16" t="str">
        <f>Datos!W16</f>
        <v>Maíz</v>
      </c>
    </row>
    <row r="17" spans="2:22" ht="12.75">
      <c r="B17" s="80"/>
      <c r="D17" s="68" t="s">
        <v>2024</v>
      </c>
      <c r="E17" s="250">
        <v>1</v>
      </c>
      <c r="F17" s="250">
        <v>2</v>
      </c>
      <c r="G17" s="250">
        <v>2023</v>
      </c>
      <c r="H17" s="260">
        <f>IF(MOD(G17,400)=0,1,IF(AND(MOD(G17,100)&lt;&gt;0,MOD(G17,4)=0),1,0))</f>
        <v>0</v>
      </c>
      <c r="I17" s="119">
        <v>30</v>
      </c>
      <c r="J17" s="119"/>
      <c r="T17" t="str">
        <f>Datos!A17</f>
        <v>Cebú</v>
      </c>
      <c r="U17" t="str">
        <f>Datos!M17</f>
        <v>Codorniz</v>
      </c>
      <c r="V17" t="str">
        <f>Datos!W17</f>
        <v>Girasol</v>
      </c>
    </row>
    <row r="18" spans="2:22" ht="12.75">
      <c r="B18" s="80"/>
      <c r="E18" s="123">
        <f>IF(E17&gt;31,"Error",IF(AND(E17&gt;30,OR(F17=4,F17=6,F17=9,F17=11)),"Error",IF(AND(E17&gt;29,F17=2,H17=1),"Error",IF(AND(E17&gt;28,F17=2,H17=0),"Error",""))))</f>
      </c>
      <c r="F18" s="78">
        <f>IF(F17&gt;12,"Error","")</f>
      </c>
      <c r="G18" s="102">
        <f>IF(G17&lt;1900," No se pueden usar años anteriores a 1900","")</f>
      </c>
      <c r="L18" s="68"/>
      <c r="M18" s="103"/>
      <c r="T18" t="str">
        <f>Datos!A18</f>
        <v>Cerda</v>
      </c>
      <c r="U18" t="str">
        <f>Datos!M18</f>
        <v>Cóndor</v>
      </c>
      <c r="V18" t="str">
        <f>Datos!W18</f>
        <v>Maní</v>
      </c>
    </row>
    <row r="19" spans="2:22" ht="12.75">
      <c r="B19" s="80"/>
      <c r="D19" s="118" t="s">
        <v>1693</v>
      </c>
      <c r="E19" s="265">
        <f>IF(DATE(G17,F17,E17)+I17&lt;1,"El vencimiento resultante es anterior al 1/1/1900",DATE(G17,F17,E17)+I17)</f>
        <v>44988</v>
      </c>
      <c r="F19" s="265"/>
      <c r="G19" s="265"/>
      <c r="H19" s="265"/>
      <c r="I19" s="265"/>
      <c r="J19" s="244"/>
      <c r="T19" t="str">
        <f>Datos!A19</f>
        <v>Chimpancé</v>
      </c>
      <c r="U19" t="str">
        <f>Datos!M19</f>
        <v>Cotorra</v>
      </c>
      <c r="V19" t="str">
        <f>Datos!W19</f>
        <v>Sorgo Graníf. ciclo corto</v>
      </c>
    </row>
    <row r="20" spans="20:22" ht="12.75">
      <c r="T20" t="str">
        <f>Datos!A20</f>
        <v>Chinchilla brevicaudata</v>
      </c>
      <c r="U20" t="str">
        <f>Datos!M20</f>
        <v>Crespín</v>
      </c>
      <c r="V20" t="str">
        <f>Datos!W20</f>
        <v>Sorgo Graníf. ciclo largo</v>
      </c>
    </row>
    <row r="21" spans="20:22" ht="12.75">
      <c r="T21" t="str">
        <f>Datos!A21</f>
        <v>Chinchilla lanígera</v>
      </c>
      <c r="U21" t="str">
        <f>Datos!M21</f>
        <v>Faisán</v>
      </c>
      <c r="V21" t="str">
        <f>Datos!W21</f>
        <v>Soja Grupo II</v>
      </c>
    </row>
    <row r="22" spans="2:22" ht="12.75">
      <c r="B22" s="2" t="s">
        <v>1401</v>
      </c>
      <c r="H22" s="115"/>
      <c r="I22" s="115"/>
      <c r="J22" s="115"/>
      <c r="T22" t="str">
        <f>Datos!A22</f>
        <v>Ciervo colorado</v>
      </c>
      <c r="U22" t="str">
        <f>Datos!M22</f>
        <v>Gallina</v>
      </c>
      <c r="V22" t="str">
        <f>Datos!W22</f>
        <v>Soja Grupo III</v>
      </c>
    </row>
    <row r="23" spans="2:22" ht="12.75">
      <c r="B23" s="2"/>
      <c r="T23" t="str">
        <f>Datos!A23</f>
        <v>Cobaya</v>
      </c>
      <c r="U23" t="str">
        <f>Datos!M23</f>
        <v>Gallineta</v>
      </c>
      <c r="V23" t="str">
        <f>Datos!W23</f>
        <v>Soja Grupo IV</v>
      </c>
    </row>
    <row r="24" spans="5:22" ht="12.75">
      <c r="E24" s="125" t="s">
        <v>186</v>
      </c>
      <c r="F24" s="122" t="s">
        <v>184</v>
      </c>
      <c r="G24" s="124" t="s">
        <v>2022</v>
      </c>
      <c r="T24" t="str">
        <f>Datos!A24</f>
        <v>Comadreja overa</v>
      </c>
      <c r="U24" t="str">
        <f>Datos!M24</f>
        <v>Ganso</v>
      </c>
      <c r="V24" t="str">
        <f>Datos!W24</f>
        <v>Soja Grupo V</v>
      </c>
    </row>
    <row r="25" spans="5:22" ht="12.75">
      <c r="E25" s="15">
        <f ca="1">IF(DATE(G26,F26,E26)&lt;TODAY(),"La fecha especificada es anterior a hoy","")</f>
      </c>
      <c r="F25" s="5"/>
      <c r="G25" s="5"/>
      <c r="T25" t="str">
        <f>Datos!A25</f>
        <v>Coneja</v>
      </c>
      <c r="U25" t="str">
        <f>Datos!M25</f>
        <v>Garza blanca</v>
      </c>
      <c r="V25" t="str">
        <f>Datos!W25</f>
        <v>Soja Grupo VI</v>
      </c>
    </row>
    <row r="26" spans="4:22" ht="12.75">
      <c r="D26" s="68" t="s">
        <v>2024</v>
      </c>
      <c r="E26" s="250">
        <v>31</v>
      </c>
      <c r="F26" s="250">
        <v>12</v>
      </c>
      <c r="G26" s="250">
        <v>2023</v>
      </c>
      <c r="H26" s="260">
        <f>IF(MOD(G26,400)=0,1,IF(AND(MOD(G26,100)&lt;&gt;0,MOD(G26,4)=0),1,0))</f>
        <v>0</v>
      </c>
      <c r="I26" s="121"/>
      <c r="J26" s="121"/>
      <c r="T26" t="str">
        <f>Datos!A26</f>
        <v>Cuis</v>
      </c>
      <c r="U26" t="str">
        <f>Datos!M26</f>
        <v>Garza mora</v>
      </c>
      <c r="V26" t="str">
        <f>Datos!W26</f>
        <v>Soja Grupo VII</v>
      </c>
    </row>
    <row r="27" spans="5:22" ht="12.75">
      <c r="E27" s="123">
        <f>IF(E26&gt;31,"Error",IF(AND(E26&gt;30,OR(F26=4,F26=6,F26=9,F26=11)),"Error",IF(AND(E26&gt;29,F26=2,H26=1),"Error",IF(AND(E26&gt;28,F26=2,H26=0),"Error",""))))</f>
      </c>
      <c r="F27" s="78">
        <f>IF(F26&gt;12,"Error","")</f>
      </c>
      <c r="G27" s="102">
        <f>IF(G26&lt;1900," No se pueden usar años anteriores a 1900","")</f>
      </c>
      <c r="T27" t="str">
        <f>Datos!A27</f>
        <v>Dromedario</v>
      </c>
      <c r="U27" t="str">
        <f>Datos!M27</f>
        <v>Golondrina</v>
      </c>
      <c r="V27" t="str">
        <f>Datos!W27</f>
        <v>Soja Grupo VIII</v>
      </c>
    </row>
    <row r="28" spans="5:21" ht="12.75">
      <c r="E28" s="118" t="s">
        <v>2070</v>
      </c>
      <c r="F28" s="142">
        <f ca="1">DATE(G26,F26,E26)-TODAY()</f>
        <v>366</v>
      </c>
      <c r="G28" s="141" t="s">
        <v>2071</v>
      </c>
      <c r="H28" s="48"/>
      <c r="I28" s="119"/>
      <c r="J28" s="119"/>
      <c r="T28" t="str">
        <f>Datos!A28</f>
        <v>Elefanta asiática</v>
      </c>
      <c r="U28" t="str">
        <f>Datos!M28</f>
        <v>Gorrión</v>
      </c>
    </row>
    <row r="29" spans="5:21" ht="12.75">
      <c r="E29" s="118"/>
      <c r="F29" s="142"/>
      <c r="G29" s="141"/>
      <c r="H29" s="48"/>
      <c r="I29" s="119"/>
      <c r="J29" s="119"/>
      <c r="T29" t="str">
        <f>Datos!A29</f>
        <v>Elefante marino</v>
      </c>
      <c r="U29" t="str">
        <f>Datos!M29</f>
        <v>Halcón peregrino</v>
      </c>
    </row>
    <row r="30" spans="5:21" ht="12.75">
      <c r="E30" s="118"/>
      <c r="F30" s="142"/>
      <c r="G30" s="141"/>
      <c r="H30" s="48"/>
      <c r="I30" s="119"/>
      <c r="J30" s="119"/>
      <c r="T30" t="str">
        <f>Datos!A30</f>
        <v>Gata</v>
      </c>
      <c r="U30" t="str">
        <f>Datos!M30</f>
        <v>Hornero</v>
      </c>
    </row>
    <row r="31" spans="2:21" ht="12.75">
      <c r="B31" s="2" t="s">
        <v>1404</v>
      </c>
      <c r="E31" s="118"/>
      <c r="F31" s="142"/>
      <c r="G31" s="141"/>
      <c r="H31" s="48"/>
      <c r="I31" s="119"/>
      <c r="J31" s="119"/>
      <c r="T31" t="str">
        <f>Datos!A31</f>
        <v>Gaur</v>
      </c>
      <c r="U31" t="str">
        <f>Datos!M31</f>
        <v>Lechucita pampa</v>
      </c>
    </row>
    <row r="32" spans="2:21" ht="12.75">
      <c r="B32" s="2"/>
      <c r="E32" s="118"/>
      <c r="F32" s="142"/>
      <c r="G32" s="141"/>
      <c r="H32" s="48"/>
      <c r="I32" s="119"/>
      <c r="J32" s="119"/>
      <c r="T32" t="str">
        <f>Datos!A32</f>
        <v>Gayal</v>
      </c>
      <c r="U32" t="str">
        <f>Datos!M32</f>
        <v>Lechuza campestre</v>
      </c>
    </row>
    <row r="33" spans="3:21" ht="12.75">
      <c r="C33" s="68" t="s">
        <v>135</v>
      </c>
      <c r="D33" s="248">
        <v>18264</v>
      </c>
      <c r="G33" s="141"/>
      <c r="H33" s="118" t="s">
        <v>134</v>
      </c>
      <c r="I33" s="180">
        <f ca="1">DATEDIF($D$33,TODAY(),"Y")</f>
        <v>72</v>
      </c>
      <c r="J33" s="180"/>
      <c r="T33" t="str">
        <f>Datos!A33</f>
        <v>Gorila</v>
      </c>
      <c r="U33" t="str">
        <f>Datos!M33</f>
        <v>Leñatero</v>
      </c>
    </row>
    <row r="34" spans="3:21" ht="12.75">
      <c r="C34">
        <f ca="1">IF(D33&gt;TODAY(),"Tiene que ser fecha anterior a hoy","")</f>
      </c>
      <c r="G34" s="141"/>
      <c r="H34" s="118" t="s">
        <v>146</v>
      </c>
      <c r="I34" s="180">
        <f ca="1">DATEDIF($D$33,TODAY(),"M")</f>
        <v>875</v>
      </c>
      <c r="J34" s="180"/>
      <c r="T34" t="str">
        <f>Datos!A34</f>
        <v>Guanaco</v>
      </c>
      <c r="U34" t="str">
        <f>Datos!M34</f>
        <v>Loro hablador</v>
      </c>
    </row>
    <row r="35" spans="7:21" ht="12.75">
      <c r="G35" s="141"/>
      <c r="H35" s="118" t="s">
        <v>133</v>
      </c>
      <c r="I35" s="180">
        <f ca="1">DATEDIF($D$33,TODAY(),"D")</f>
        <v>26661</v>
      </c>
      <c r="J35" s="180"/>
      <c r="T35" t="str">
        <f>Datos!A35</f>
        <v>Hamster</v>
      </c>
      <c r="U35" t="str">
        <f>Datos!M35</f>
        <v>Martineta</v>
      </c>
    </row>
    <row r="36" spans="5:21" ht="12.75">
      <c r="E36" s="118"/>
      <c r="F36" s="142"/>
      <c r="G36" s="141"/>
      <c r="H36" s="48"/>
      <c r="I36" s="119"/>
      <c r="J36" s="119"/>
      <c r="T36" t="str">
        <f>Datos!A36</f>
        <v>Hurón</v>
      </c>
      <c r="U36" t="str">
        <f>Datos!M36</f>
        <v>Ñandú</v>
      </c>
    </row>
    <row r="37" spans="8:21" ht="12.75">
      <c r="H37" s="141"/>
      <c r="I37" s="141"/>
      <c r="J37" s="141"/>
      <c r="T37" t="str">
        <f>Datos!A37</f>
        <v>Jabalí</v>
      </c>
      <c r="U37" t="str">
        <f>Datos!M37</f>
        <v>Pájaro campana</v>
      </c>
    </row>
    <row r="38" spans="2:21" ht="12.75">
      <c r="B38" s="2" t="s">
        <v>1402</v>
      </c>
      <c r="T38" t="str">
        <f>Datos!A38</f>
        <v>Jaguar</v>
      </c>
      <c r="U38" t="str">
        <f>Datos!M38</f>
        <v>Paloma mensajera</v>
      </c>
    </row>
    <row r="39" spans="2:21" ht="12.75">
      <c r="B39" s="2"/>
      <c r="T39" t="str">
        <f>Datos!A39</f>
        <v>Jirafa</v>
      </c>
      <c r="U39" t="str">
        <f>Datos!M39</f>
        <v>Paloma torcaza</v>
      </c>
    </row>
    <row r="40" spans="2:21" ht="12.75">
      <c r="B40" s="68" t="s">
        <v>137</v>
      </c>
      <c r="C40" s="249" t="s">
        <v>1781</v>
      </c>
      <c r="D40" s="267" t="str">
        <f>VLOOKUP($C$40,Datos!$A$5:$I$67,2,FALSE)</f>
        <v>Bos primigenius taurus</v>
      </c>
      <c r="E40" s="267"/>
      <c r="H40" s="68" t="s">
        <v>2051</v>
      </c>
      <c r="I40" s="248">
        <v>44197</v>
      </c>
      <c r="J40" s="248"/>
      <c r="T40" t="str">
        <f>Datos!A40</f>
        <v>Laucha</v>
      </c>
      <c r="U40" t="str">
        <f>Datos!M40</f>
        <v>Pato doméstico</v>
      </c>
    </row>
    <row r="41" spans="20:21" ht="12.75">
      <c r="T41" t="str">
        <f>Datos!A41</f>
        <v>Leona</v>
      </c>
      <c r="U41" t="str">
        <f>Datos!M41</f>
        <v>Pavo</v>
      </c>
    </row>
    <row r="42" spans="3:21" ht="12.75">
      <c r="C42" s="128" t="s">
        <v>2052</v>
      </c>
      <c r="D42" s="175" t="s">
        <v>2025</v>
      </c>
      <c r="E42" s="266">
        <f>$I$40+VLOOKUP($C$40,Datos!$A$5:$I$67,7,FALSE)</f>
        <v>44473</v>
      </c>
      <c r="F42" s="266"/>
      <c r="G42" s="175" t="s">
        <v>2026</v>
      </c>
      <c r="H42" s="266">
        <f>$I$40+VLOOKUP($C$40,Datos!$A$5:$I$67,8,FALSE)</f>
        <v>44488</v>
      </c>
      <c r="I42" s="266"/>
      <c r="J42" s="245"/>
      <c r="T42" t="str">
        <f>Datos!A42</f>
        <v>Leopardo</v>
      </c>
      <c r="U42" t="str">
        <f>Datos!M42</f>
        <v>Pavo real</v>
      </c>
    </row>
    <row r="43" spans="20:21" ht="12.75">
      <c r="T43" t="str">
        <f>Datos!A43</f>
        <v>Liebre</v>
      </c>
      <c r="U43" t="str">
        <f>Datos!M43</f>
        <v>Pecho colorado</v>
      </c>
    </row>
    <row r="44" spans="20:21" ht="12.75">
      <c r="T44" t="str">
        <f>Datos!A44</f>
        <v>Llama</v>
      </c>
      <c r="U44" t="str">
        <f>Datos!M44</f>
        <v>Perdiz común</v>
      </c>
    </row>
    <row r="45" spans="2:21" ht="12.75">
      <c r="B45" s="2" t="s">
        <v>282</v>
      </c>
      <c r="T45" t="str">
        <f>Datos!A45</f>
        <v>Loba</v>
      </c>
      <c r="U45" t="str">
        <f>Datos!M45</f>
        <v>Picaflor común</v>
      </c>
    </row>
    <row r="46" spans="2:21" ht="12.75">
      <c r="B46" s="2"/>
      <c r="T46" t="str">
        <f>Datos!A46</f>
        <v>Lobo marino</v>
      </c>
      <c r="U46" t="str">
        <f>Datos!M46</f>
        <v>Pingüino adelaida</v>
      </c>
    </row>
    <row r="47" spans="2:21" ht="12.75">
      <c r="B47" s="68" t="s">
        <v>137</v>
      </c>
      <c r="C47" s="249" t="s">
        <v>1929</v>
      </c>
      <c r="D47" s="267" t="str">
        <f>VLOOKUP($C$47,Datos!$M$5:$S$55,2,FALSE)</f>
        <v>Numida meleagris</v>
      </c>
      <c r="E47" s="267"/>
      <c r="H47" s="68" t="s">
        <v>2050</v>
      </c>
      <c r="I47" s="248">
        <v>44197</v>
      </c>
      <c r="J47" s="248"/>
      <c r="T47" t="str">
        <f>Datos!A47</f>
        <v>Muflón</v>
      </c>
      <c r="U47" t="str">
        <f>Datos!M47</f>
        <v>Pingüino de barbijo</v>
      </c>
    </row>
    <row r="48" spans="20:21" ht="12.75">
      <c r="T48" t="str">
        <f>Datos!A48</f>
        <v>Nutria</v>
      </c>
      <c r="U48" t="str">
        <f>Datos!M48</f>
        <v>Pingüino emperador</v>
      </c>
    </row>
    <row r="49" spans="3:21" ht="12.75">
      <c r="C49" s="128" t="s">
        <v>2052</v>
      </c>
      <c r="D49" s="175" t="s">
        <v>2025</v>
      </c>
      <c r="E49" s="266">
        <f>$I$47+VLOOKUP($C$47,Datos!$M$5:$S$55,5,FALSE)</f>
        <v>44221</v>
      </c>
      <c r="F49" s="266"/>
      <c r="G49" s="175" t="s">
        <v>2026</v>
      </c>
      <c r="H49" s="266">
        <f>$I$47+VLOOKUP($C$47,Datos!$M$5:$S$55,6,FALSE)</f>
        <v>44225</v>
      </c>
      <c r="I49" s="266"/>
      <c r="J49" s="245"/>
      <c r="T49" t="str">
        <f>Datos!A49</f>
        <v>Okapis</v>
      </c>
      <c r="U49" t="str">
        <f>Datos!M49</f>
        <v>Pingüino papua</v>
      </c>
    </row>
    <row r="50" spans="5:21" ht="12.75">
      <c r="E50" s="262">
        <f>IF(TYPE(E49)=16,"Sin datos","")</f>
      </c>
      <c r="F50" s="262"/>
      <c r="T50" t="str">
        <f>Datos!A50</f>
        <v>Oveja</v>
      </c>
      <c r="U50" t="str">
        <f>Datos!M50</f>
        <v>Pingüino rey</v>
      </c>
    </row>
    <row r="51" spans="20:21" ht="12.75">
      <c r="T51" t="str">
        <f>Datos!A51</f>
        <v>Perra</v>
      </c>
      <c r="U51" t="str">
        <f>Datos!M51</f>
        <v>Pirincho</v>
      </c>
    </row>
    <row r="52" spans="2:21" ht="12.75">
      <c r="B52" s="2" t="s">
        <v>1403</v>
      </c>
      <c r="T52" t="str">
        <f>Datos!A52</f>
        <v>Puma</v>
      </c>
      <c r="U52" t="str">
        <f>Datos!M52</f>
        <v>Tacuarita</v>
      </c>
    </row>
    <row r="53" spans="2:21" ht="12.75">
      <c r="B53" s="2"/>
      <c r="T53" t="str">
        <f>Datos!A53</f>
        <v>Rata negra</v>
      </c>
      <c r="U53" t="str">
        <f>Datos!M53</f>
        <v>Tero</v>
      </c>
    </row>
    <row r="54" spans="2:21" ht="12.75">
      <c r="B54" s="68" t="s">
        <v>136</v>
      </c>
      <c r="C54" s="264" t="s">
        <v>2067</v>
      </c>
      <c r="D54" s="264"/>
      <c r="H54" s="68" t="s">
        <v>1816</v>
      </c>
      <c r="I54" s="248">
        <v>44179</v>
      </c>
      <c r="J54" s="248"/>
      <c r="T54" t="str">
        <f>Datos!A54</f>
        <v>Ratón</v>
      </c>
      <c r="U54" t="str">
        <f>Datos!M54</f>
        <v>Tijereta</v>
      </c>
    </row>
    <row r="55" spans="9:21" ht="12.75">
      <c r="I55" s="255">
        <f>IF(OR(MONTH($I$54)&lt;VLOOKUP($C$54,Datos!$W$5:$AG$27,10,FALSE),MONTH($I$54)&gt;VLOOKUP($C$54,Datos!$W$5:$AG$27,11,FALSE)),"Fuera de época de siembra. Los resultados de abajo no son válidos.","")</f>
      </c>
      <c r="J55" s="246"/>
      <c r="T55" t="str">
        <f>Datos!A55</f>
        <v>Reno</v>
      </c>
      <c r="U55" t="str">
        <f>Datos!M55</f>
        <v>Tordo</v>
      </c>
    </row>
    <row r="56" spans="5:20" ht="12.75">
      <c r="E56" s="128" t="s">
        <v>1817</v>
      </c>
      <c r="F56" s="175" t="s">
        <v>139</v>
      </c>
      <c r="G56" s="254">
        <f>IF(VLOOKUP($C$54,Datos!$W$5:$AE$27,2,FALSE)=0,"s.d.",$I$54+VLOOKUP($C$54,Datos!$W$5:$AE$27,2,FALSE))</f>
        <v>44186</v>
      </c>
      <c r="H56" s="247" t="s">
        <v>140</v>
      </c>
      <c r="I56" s="254">
        <f>IF(VLOOKUP($C$54,Datos!$W$5:$AE$27,3,FALSE)=0,"s.d.",$I$54+VLOOKUP($C$54,Datos!$W$5:$AE$27,3,FALSE))</f>
        <v>44188</v>
      </c>
      <c r="J56" s="181"/>
      <c r="T56" t="str">
        <f>Datos!A56</f>
        <v>Tapir</v>
      </c>
    </row>
    <row r="57" spans="5:20" ht="12.75">
      <c r="E57" s="256" t="str">
        <f>"Comienzo "&amp;IF(OR(LEFT(C54,3)="Tri",LEFT(C54,3)="Ceb"),"espigazón:",IF(OR(LEFT(C54,3)="Alp",LEFT(C54,3)="Sor"),"panojamiento:","floración:"))</f>
        <v>Comienzo floración:</v>
      </c>
      <c r="F57" s="175" t="s">
        <v>139</v>
      </c>
      <c r="G57" s="254">
        <f>IF(VLOOKUP($C$54,Datos!$W$5:$AE$27,4,FALSE)=0,"s.d.",$I$54+VLOOKUP($C$54,Datos!$W$5:$AE$27,4,FALSE)+($G$60+$I$60)/2)</f>
        <v>44212</v>
      </c>
      <c r="H57" s="247" t="s">
        <v>140</v>
      </c>
      <c r="I57" s="254">
        <f>IF(VLOOKUP($C$54,Datos!$W$5:$AE$27,5,FALSE)=0,"s.d.",$I$54+VLOOKUP($C$54,Datos!$W$5:$AE$27,5,FALSE)+($G$60+$I$60)/2)</f>
        <v>44222</v>
      </c>
      <c r="J57" s="181"/>
      <c r="T57" t="str">
        <f>Datos!A57</f>
        <v>Tigresa</v>
      </c>
    </row>
    <row r="58" spans="5:20" ht="12.75">
      <c r="E58" s="128" t="s">
        <v>1818</v>
      </c>
      <c r="F58" s="175" t="s">
        <v>139</v>
      </c>
      <c r="G58" s="254">
        <f>IF(VLOOKUP($C$54,Datos!$W$5:$AE$27,6,FALSE)=0,"s.d.",$I$54+VLOOKUP($C$54,Datos!$W$5:$AE$27,6,FALSE)+($G$60+$I$60)/2)</f>
        <v>44267</v>
      </c>
      <c r="H58" s="247" t="s">
        <v>140</v>
      </c>
      <c r="I58" s="254">
        <f>IF(VLOOKUP($C$54,Datos!$W$5:$AE$27,7,FALSE)=0,"s.d.",$I$54+VLOOKUP($C$54,Datos!$W$5:$AE$27,7,FALSE)+($G$60+$I$60)/2)</f>
        <v>44297</v>
      </c>
      <c r="J58" s="181"/>
      <c r="T58" t="str">
        <f>Datos!A58</f>
        <v>Vaca</v>
      </c>
    </row>
    <row r="59" spans="5:20" ht="12.75">
      <c r="E59" s="128" t="s">
        <v>138</v>
      </c>
      <c r="F59" s="175" t="s">
        <v>139</v>
      </c>
      <c r="G59" s="254">
        <f>IF(VLOOKUP($C$54,Datos!$W$5:$AE$27,8,FALSE)=0,"s.d.",$I$54+VLOOKUP($C$54,Datos!$W$5:$AE$27,8,FALSE)+($G$60+$I$60)/2)</f>
        <v>44282</v>
      </c>
      <c r="H59" s="247" t="s">
        <v>140</v>
      </c>
      <c r="I59" s="254">
        <f>IF(VLOOKUP($C$54,Datos!$W$5:$AE$27,9,FALSE)=0,"s.d.",$I$54+VLOOKUP($C$54,Datos!$W$5:$AE$27,9,FALSE)+($G$60+$I$60)/2)</f>
        <v>44322</v>
      </c>
      <c r="J59" s="181"/>
      <c r="T59" t="str">
        <f>Datos!A59</f>
        <v>Venado de las pampas</v>
      </c>
    </row>
    <row r="60" spans="7:20" ht="12.75">
      <c r="G60" s="246">
        <f>VLOOKUP($C$54,Datos!$W$5:$AE$27,2,FALSE)</f>
        <v>7</v>
      </c>
      <c r="H60" s="44"/>
      <c r="I60" s="246">
        <f>VLOOKUP($C$54,Datos!$W$5:$AE$27,3,FALSE)</f>
        <v>9</v>
      </c>
      <c r="T60" t="str">
        <f>Datos!A60</f>
        <v>Vicuña</v>
      </c>
    </row>
    <row r="61" ht="12.75">
      <c r="T61" t="str">
        <f>Datos!A61</f>
        <v>Visón americano</v>
      </c>
    </row>
    <row r="62" ht="12.75">
      <c r="T62" t="str">
        <f>Datos!A62</f>
        <v>Vizcacha</v>
      </c>
    </row>
    <row r="63" ht="12.75">
      <c r="T63" t="str">
        <f>Datos!A63</f>
        <v>Yak</v>
      </c>
    </row>
    <row r="64" ht="12.75">
      <c r="T64" t="str">
        <f>Datos!A64</f>
        <v>Yegua</v>
      </c>
    </row>
    <row r="65" ht="12.75">
      <c r="T65" t="str">
        <f>Datos!A65</f>
        <v>Zorra</v>
      </c>
    </row>
    <row r="66" ht="12.75">
      <c r="T66" t="str">
        <f>Datos!A66</f>
        <v>Zorra de las pampas</v>
      </c>
    </row>
    <row r="67" ht="12.75">
      <c r="T67" t="str">
        <f>Datos!A67</f>
        <v>Zorra gris</v>
      </c>
    </row>
  </sheetData>
  <sheetProtection sheet="1"/>
  <mergeCells count="9">
    <mergeCell ref="C54:D54"/>
    <mergeCell ref="E19:I19"/>
    <mergeCell ref="E49:F49"/>
    <mergeCell ref="H49:I49"/>
    <mergeCell ref="E42:F42"/>
    <mergeCell ref="H42:I42"/>
    <mergeCell ref="D40:E40"/>
    <mergeCell ref="D47:E47"/>
    <mergeCell ref="E50:F50"/>
  </mergeCells>
  <dataValidations count="4">
    <dataValidation type="list" allowBlank="1" showInputMessage="1" showErrorMessage="1" sqref="D6 D8">
      <formula1>$L$4:$L$5</formula1>
    </dataValidation>
    <dataValidation type="list" allowBlank="1" showInputMessage="1" showErrorMessage="1" sqref="C40">
      <formula1>$T$5:$T$67</formula1>
    </dataValidation>
    <dataValidation type="list" allowBlank="1" showInputMessage="1" showErrorMessage="1" sqref="C47">
      <formula1>$U$5:$U$55</formula1>
    </dataValidation>
    <dataValidation type="list" allowBlank="1" showInputMessage="1" showErrorMessage="1" sqref="C54:D54">
      <formula1>$V$5:$V$27</formula1>
    </dataValidation>
  </dataValidations>
  <printOptions/>
  <pageMargins left="0.75" right="0.75" top="1" bottom="1" header="0" footer="0"/>
  <pageSetup horizontalDpi="120" verticalDpi="1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K28" sqref="K28"/>
    </sheetView>
  </sheetViews>
  <sheetFormatPr defaultColWidth="11.421875" defaultRowHeight="12.75"/>
  <cols>
    <col min="1" max="1" width="20.7109375" style="0" customWidth="1"/>
    <col min="2" max="2" width="25.7109375" style="0" customWidth="1"/>
    <col min="3" max="9" width="7.7109375" style="0" customWidth="1"/>
    <col min="10" max="10" width="30.7109375" style="0" customWidth="1"/>
    <col min="13" max="13" width="20.7109375" style="0" customWidth="1"/>
    <col min="14" max="14" width="25.7109375" style="0" customWidth="1"/>
    <col min="15" max="15" width="7.7109375" style="5" customWidth="1"/>
    <col min="16" max="19" width="7.7109375" style="0" customWidth="1"/>
    <col min="20" max="20" width="30.7109375" style="0" customWidth="1"/>
    <col min="23" max="23" width="18.7109375" style="0" customWidth="1"/>
    <col min="24" max="29" width="8.7109375" style="0" customWidth="1"/>
    <col min="32" max="33" width="5.7109375" style="0" customWidth="1"/>
  </cols>
  <sheetData>
    <row r="1" spans="1:33" ht="12.75">
      <c r="A1" s="199" t="s">
        <v>1941</v>
      </c>
      <c r="B1" s="200"/>
      <c r="C1" s="200"/>
      <c r="D1" s="200"/>
      <c r="E1" s="200"/>
      <c r="F1" s="200"/>
      <c r="G1" s="200"/>
      <c r="H1" s="200"/>
      <c r="I1" s="200"/>
      <c r="J1" s="200"/>
      <c r="L1" s="68"/>
      <c r="M1" s="217" t="s">
        <v>1928</v>
      </c>
      <c r="N1" s="218"/>
      <c r="O1" s="219"/>
      <c r="P1" s="218"/>
      <c r="Q1" s="218"/>
      <c r="R1" s="218"/>
      <c r="S1" s="218"/>
      <c r="T1" s="218"/>
      <c r="W1" s="231" t="s">
        <v>104</v>
      </c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 ht="12.75">
      <c r="A2" s="200"/>
      <c r="B2" s="200"/>
      <c r="C2" s="200"/>
      <c r="D2" s="200"/>
      <c r="E2" s="200"/>
      <c r="F2" s="200"/>
      <c r="G2" s="200"/>
      <c r="H2" s="200"/>
      <c r="I2" s="200"/>
      <c r="J2" s="200"/>
      <c r="L2" s="68"/>
      <c r="M2" s="218"/>
      <c r="N2" s="218"/>
      <c r="O2" s="219"/>
      <c r="P2" s="218"/>
      <c r="Q2" s="218"/>
      <c r="R2" s="218"/>
      <c r="S2" s="218"/>
      <c r="T2" s="218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33" ht="12.75">
      <c r="A3" s="201" t="s">
        <v>1769</v>
      </c>
      <c r="B3" s="201" t="s">
        <v>1788</v>
      </c>
      <c r="C3" s="269" t="s">
        <v>155</v>
      </c>
      <c r="D3" s="269"/>
      <c r="E3" s="270" t="s">
        <v>1484</v>
      </c>
      <c r="F3" s="270"/>
      <c r="G3" s="269" t="s">
        <v>1942</v>
      </c>
      <c r="H3" s="269"/>
      <c r="I3" s="269"/>
      <c r="J3" s="201" t="s">
        <v>1809</v>
      </c>
      <c r="L3" s="68"/>
      <c r="M3" s="220" t="s">
        <v>1769</v>
      </c>
      <c r="N3" s="220" t="s">
        <v>1788</v>
      </c>
      <c r="O3" s="221" t="s">
        <v>779</v>
      </c>
      <c r="P3" s="221" t="s">
        <v>1913</v>
      </c>
      <c r="Q3" s="271" t="s">
        <v>1946</v>
      </c>
      <c r="R3" s="271"/>
      <c r="S3" s="271"/>
      <c r="T3" s="220" t="s">
        <v>1809</v>
      </c>
      <c r="W3" s="233" t="s">
        <v>1769</v>
      </c>
      <c r="X3" s="268" t="s">
        <v>96</v>
      </c>
      <c r="Y3" s="268"/>
      <c r="Z3" s="268" t="s">
        <v>97</v>
      </c>
      <c r="AA3" s="268"/>
      <c r="AB3" s="268" t="s">
        <v>98</v>
      </c>
      <c r="AC3" s="268"/>
      <c r="AD3" s="268" t="s">
        <v>105</v>
      </c>
      <c r="AE3" s="268"/>
      <c r="AF3" s="268" t="s">
        <v>2066</v>
      </c>
      <c r="AG3" s="268"/>
    </row>
    <row r="4" spans="1:33" ht="12.75">
      <c r="A4" s="202"/>
      <c r="B4" s="202"/>
      <c r="C4" s="203" t="s">
        <v>1807</v>
      </c>
      <c r="D4" s="204" t="s">
        <v>156</v>
      </c>
      <c r="E4" s="203" t="s">
        <v>1943</v>
      </c>
      <c r="F4" s="203" t="s">
        <v>1944</v>
      </c>
      <c r="G4" s="203" t="s">
        <v>1943</v>
      </c>
      <c r="H4" s="203" t="s">
        <v>1944</v>
      </c>
      <c r="I4" s="203" t="s">
        <v>1945</v>
      </c>
      <c r="J4" s="202"/>
      <c r="L4" s="68"/>
      <c r="M4" s="222"/>
      <c r="N4" s="222"/>
      <c r="O4" s="223" t="s">
        <v>780</v>
      </c>
      <c r="P4" s="224" t="s">
        <v>1914</v>
      </c>
      <c r="Q4" s="224" t="s">
        <v>1943</v>
      </c>
      <c r="R4" s="224" t="s">
        <v>1944</v>
      </c>
      <c r="S4" s="224" t="s">
        <v>1945</v>
      </c>
      <c r="T4" s="222"/>
      <c r="W4" s="234"/>
      <c r="X4" s="235" t="s">
        <v>1943</v>
      </c>
      <c r="Y4" s="235" t="s">
        <v>1944</v>
      </c>
      <c r="Z4" s="235" t="s">
        <v>1943</v>
      </c>
      <c r="AA4" s="235" t="s">
        <v>1944</v>
      </c>
      <c r="AB4" s="235" t="s">
        <v>1943</v>
      </c>
      <c r="AC4" s="235" t="s">
        <v>1944</v>
      </c>
      <c r="AD4" s="235" t="s">
        <v>1943</v>
      </c>
      <c r="AE4" s="235" t="s">
        <v>1944</v>
      </c>
      <c r="AF4" s="235" t="s">
        <v>1943</v>
      </c>
      <c r="AG4" s="235" t="s">
        <v>1944</v>
      </c>
    </row>
    <row r="5" spans="1:33" ht="12.75">
      <c r="A5" s="205" t="s">
        <v>1770</v>
      </c>
      <c r="B5" s="206" t="s">
        <v>1771</v>
      </c>
      <c r="C5" s="207">
        <v>28</v>
      </c>
      <c r="D5" s="208" t="s">
        <v>158</v>
      </c>
      <c r="E5" s="207"/>
      <c r="F5" s="207"/>
      <c r="G5" s="207">
        <v>256</v>
      </c>
      <c r="H5" s="207">
        <v>294</v>
      </c>
      <c r="I5" s="207"/>
      <c r="J5" s="209"/>
      <c r="M5" s="220" t="s">
        <v>1920</v>
      </c>
      <c r="N5" s="225" t="s">
        <v>1921</v>
      </c>
      <c r="O5" s="221">
        <v>2</v>
      </c>
      <c r="P5" s="226" t="s">
        <v>1923</v>
      </c>
      <c r="Q5" s="219">
        <v>13</v>
      </c>
      <c r="R5" s="219">
        <v>13</v>
      </c>
      <c r="S5" s="219">
        <v>13</v>
      </c>
      <c r="T5" s="220" t="s">
        <v>1922</v>
      </c>
      <c r="W5" s="233" t="s">
        <v>1810</v>
      </c>
      <c r="X5" s="237">
        <f>Fuentes!O15</f>
        <v>15</v>
      </c>
      <c r="Y5" s="237">
        <f>Fuentes!P15</f>
        <v>20</v>
      </c>
      <c r="Z5" s="237">
        <f>Fuentes!F15-Fuentes!O15</f>
        <v>104</v>
      </c>
      <c r="AA5" s="237">
        <f>Fuentes!C15-Fuentes!P15</f>
        <v>110</v>
      </c>
      <c r="AB5" s="237">
        <f>AD5-Fuentes!Q15</f>
        <v>130</v>
      </c>
      <c r="AC5" s="237">
        <f>AE5-Fuentes!R15</f>
        <v>128</v>
      </c>
      <c r="AD5" s="237">
        <f>Fuentes!H15-Fuentes!O15</f>
        <v>145</v>
      </c>
      <c r="AE5" s="237">
        <f>Fuentes!E15-Fuentes!P15</f>
        <v>153</v>
      </c>
      <c r="AF5" s="236">
        <v>5</v>
      </c>
      <c r="AG5" s="236">
        <v>7</v>
      </c>
    </row>
    <row r="6" spans="1:33" ht="12.75">
      <c r="A6" s="199" t="s">
        <v>1819</v>
      </c>
      <c r="B6" s="210" t="s">
        <v>1825</v>
      </c>
      <c r="C6" s="211"/>
      <c r="D6" s="212"/>
      <c r="E6" s="211"/>
      <c r="F6" s="211"/>
      <c r="G6" s="211">
        <v>340</v>
      </c>
      <c r="H6" s="211">
        <v>345</v>
      </c>
      <c r="I6" s="211"/>
      <c r="J6" s="200"/>
      <c r="M6" s="220" t="s">
        <v>453</v>
      </c>
      <c r="N6" s="225" t="s">
        <v>454</v>
      </c>
      <c r="O6" s="221"/>
      <c r="P6" s="226" t="s">
        <v>1923</v>
      </c>
      <c r="Q6" s="219">
        <v>14</v>
      </c>
      <c r="R6" s="219">
        <v>14</v>
      </c>
      <c r="S6" s="219">
        <v>14</v>
      </c>
      <c r="T6" s="218"/>
      <c r="W6" s="233" t="s">
        <v>1811</v>
      </c>
      <c r="X6" s="236">
        <f>Fuentes!O20</f>
        <v>20</v>
      </c>
      <c r="Y6" s="236">
        <f>Fuentes!P20</f>
        <v>25</v>
      </c>
      <c r="Z6" s="237">
        <f>Fuentes!F20-Fuentes!O20</f>
        <v>107</v>
      </c>
      <c r="AA6" s="237">
        <f>Fuentes!C20-Fuentes!O20</f>
        <v>123.66666666666666</v>
      </c>
      <c r="AB6" s="237">
        <f>AD6-Fuentes!Q20</f>
        <v>121.66666666666666</v>
      </c>
      <c r="AC6" s="237">
        <f>AE6-Fuentes!R20</f>
        <v>129.66666666666666</v>
      </c>
      <c r="AD6" s="237">
        <f>Fuentes!H20-Fuentes!O20</f>
        <v>141.66666666666666</v>
      </c>
      <c r="AE6" s="237">
        <f>Fuentes!E20-Fuentes!P20</f>
        <v>154.66666666666666</v>
      </c>
      <c r="AF6" s="236">
        <v>5</v>
      </c>
      <c r="AG6" s="236">
        <v>7</v>
      </c>
    </row>
    <row r="7" spans="1:33" ht="12.75">
      <c r="A7" s="213" t="s">
        <v>1874</v>
      </c>
      <c r="B7" s="214" t="s">
        <v>1873</v>
      </c>
      <c r="C7" s="211"/>
      <c r="D7" s="215"/>
      <c r="E7" s="211"/>
      <c r="F7" s="211"/>
      <c r="G7" s="211">
        <v>360</v>
      </c>
      <c r="H7" s="211">
        <v>390</v>
      </c>
      <c r="I7" s="211"/>
      <c r="J7" s="200"/>
      <c r="M7" s="217" t="s">
        <v>1974</v>
      </c>
      <c r="N7" s="227" t="s">
        <v>1975</v>
      </c>
      <c r="O7" s="228"/>
      <c r="P7" s="226" t="s">
        <v>1957</v>
      </c>
      <c r="Q7" s="219">
        <v>12</v>
      </c>
      <c r="R7" s="219">
        <v>16</v>
      </c>
      <c r="S7" s="219">
        <v>14</v>
      </c>
      <c r="T7" s="218"/>
      <c r="W7" s="233" t="s">
        <v>1813</v>
      </c>
      <c r="X7" s="237">
        <f>Fuentes!O15</f>
        <v>15</v>
      </c>
      <c r="Y7" s="236">
        <v>20</v>
      </c>
      <c r="Z7" s="237">
        <f>Fuentes!L15-Fuentes!O15</f>
        <v>69</v>
      </c>
      <c r="AA7" s="237">
        <f>Fuentes!I15-Fuentes!O15</f>
        <v>89</v>
      </c>
      <c r="AB7" s="237">
        <f>AD7-Fuentes!Q15</f>
        <v>95</v>
      </c>
      <c r="AC7" s="237">
        <f>AE7-Fuentes!R15</f>
        <v>102</v>
      </c>
      <c r="AD7" s="237">
        <f>Fuentes!N15-Fuentes!O15</f>
        <v>110</v>
      </c>
      <c r="AE7" s="237">
        <f>Fuentes!K15-Fuentes!P15</f>
        <v>127</v>
      </c>
      <c r="AF7" s="236">
        <v>6</v>
      </c>
      <c r="AG7" s="236">
        <v>8</v>
      </c>
    </row>
    <row r="8" spans="1:33" ht="12.75">
      <c r="A8" s="213" t="s">
        <v>1875</v>
      </c>
      <c r="B8" s="214" t="s">
        <v>1791</v>
      </c>
      <c r="C8" s="211"/>
      <c r="D8" s="215"/>
      <c r="E8" s="211"/>
      <c r="F8" s="211"/>
      <c r="G8" s="211">
        <v>238</v>
      </c>
      <c r="H8" s="211">
        <v>280</v>
      </c>
      <c r="I8" s="211"/>
      <c r="J8" s="200"/>
      <c r="M8" s="220" t="s">
        <v>1910</v>
      </c>
      <c r="N8" s="225" t="s">
        <v>1925</v>
      </c>
      <c r="O8" s="221">
        <v>1</v>
      </c>
      <c r="P8" s="226" t="s">
        <v>74</v>
      </c>
      <c r="Q8" s="219">
        <v>30</v>
      </c>
      <c r="R8" s="219">
        <v>30</v>
      </c>
      <c r="S8" s="219">
        <v>30</v>
      </c>
      <c r="T8" s="218"/>
      <c r="W8" s="233" t="s">
        <v>1812</v>
      </c>
      <c r="X8" s="236">
        <f>Fuentes!O20</f>
        <v>20</v>
      </c>
      <c r="Y8" s="236">
        <f>Fuentes!P20</f>
        <v>25</v>
      </c>
      <c r="Z8" s="237">
        <f>Fuentes!L20-Fuentes!O20</f>
        <v>70.66666666666667</v>
      </c>
      <c r="AA8" s="237">
        <f>Fuentes!I20-Fuentes!O20</f>
        <v>85</v>
      </c>
      <c r="AB8" s="237">
        <f>AD8-Fuentes!Q20</f>
        <v>83.66666666666667</v>
      </c>
      <c r="AC8" s="237">
        <f>AE8-Fuentes!R20</f>
        <v>89.33333333333334</v>
      </c>
      <c r="AD8" s="237">
        <f>Fuentes!N20-Fuentes!O20</f>
        <v>103.66666666666667</v>
      </c>
      <c r="AE8" s="237">
        <f>Fuentes!K20-Fuentes!P20</f>
        <v>114.33333333333334</v>
      </c>
      <c r="AF8" s="236">
        <v>6</v>
      </c>
      <c r="AG8" s="236">
        <v>8</v>
      </c>
    </row>
    <row r="9" spans="1:33" ht="12.75">
      <c r="A9" s="213" t="s">
        <v>1858</v>
      </c>
      <c r="B9" s="210" t="s">
        <v>1859</v>
      </c>
      <c r="C9" s="211">
        <v>46</v>
      </c>
      <c r="D9" s="212"/>
      <c r="E9" s="211"/>
      <c r="F9" s="211">
        <v>20</v>
      </c>
      <c r="G9" s="211">
        <v>220</v>
      </c>
      <c r="H9" s="211">
        <v>250</v>
      </c>
      <c r="I9" s="211"/>
      <c r="J9" s="213" t="s">
        <v>1860</v>
      </c>
      <c r="M9" s="220" t="s">
        <v>84</v>
      </c>
      <c r="N9" s="225" t="s">
        <v>83</v>
      </c>
      <c r="O9" s="221"/>
      <c r="P9" s="226" t="s">
        <v>1915</v>
      </c>
      <c r="Q9" s="219">
        <v>14</v>
      </c>
      <c r="R9" s="219">
        <v>14</v>
      </c>
      <c r="S9" s="219">
        <v>14</v>
      </c>
      <c r="T9" s="218"/>
      <c r="W9" s="233" t="s">
        <v>1398</v>
      </c>
      <c r="X9" s="236">
        <v>12</v>
      </c>
      <c r="Y9" s="236">
        <v>25</v>
      </c>
      <c r="Z9" s="236">
        <v>90</v>
      </c>
      <c r="AA9" s="236">
        <v>110</v>
      </c>
      <c r="AB9" s="236">
        <v>130</v>
      </c>
      <c r="AC9" s="236">
        <v>150</v>
      </c>
      <c r="AD9" s="236">
        <v>160</v>
      </c>
      <c r="AE9" s="236">
        <v>180</v>
      </c>
      <c r="AF9" s="236">
        <v>6</v>
      </c>
      <c r="AG9" s="236">
        <v>8</v>
      </c>
    </row>
    <row r="10" spans="1:33" ht="12.75">
      <c r="A10" s="199" t="s">
        <v>1789</v>
      </c>
      <c r="B10" s="210" t="s">
        <v>1790</v>
      </c>
      <c r="C10" s="211">
        <v>21</v>
      </c>
      <c r="D10" s="212"/>
      <c r="E10" s="211"/>
      <c r="F10" s="211"/>
      <c r="G10" s="211">
        <v>333</v>
      </c>
      <c r="H10" s="211">
        <v>333</v>
      </c>
      <c r="I10" s="211"/>
      <c r="J10" s="200"/>
      <c r="M10" s="220" t="s">
        <v>1982</v>
      </c>
      <c r="N10" s="225" t="s">
        <v>1983</v>
      </c>
      <c r="O10" s="221"/>
      <c r="P10" s="226" t="s">
        <v>1927</v>
      </c>
      <c r="Q10" s="219">
        <v>30</v>
      </c>
      <c r="R10" s="219">
        <v>30</v>
      </c>
      <c r="S10" s="219">
        <v>30</v>
      </c>
      <c r="T10" s="220" t="s">
        <v>1984</v>
      </c>
      <c r="W10" s="233" t="s">
        <v>1396</v>
      </c>
      <c r="X10" s="236">
        <v>20</v>
      </c>
      <c r="Y10" s="236">
        <v>25</v>
      </c>
      <c r="Z10" s="236">
        <v>75</v>
      </c>
      <c r="AA10" s="236">
        <v>95</v>
      </c>
      <c r="AB10" s="236">
        <v>120</v>
      </c>
      <c r="AC10" s="236">
        <v>130</v>
      </c>
      <c r="AD10" s="236">
        <v>150</v>
      </c>
      <c r="AE10" s="236">
        <v>160</v>
      </c>
      <c r="AF10" s="236">
        <v>6</v>
      </c>
      <c r="AG10" s="236">
        <v>8</v>
      </c>
    </row>
    <row r="11" spans="1:33" ht="12.75">
      <c r="A11" s="199" t="s">
        <v>1839</v>
      </c>
      <c r="B11" s="210" t="s">
        <v>1840</v>
      </c>
      <c r="C11" s="211">
        <v>24</v>
      </c>
      <c r="D11" s="212" t="s">
        <v>157</v>
      </c>
      <c r="E11" s="211"/>
      <c r="F11" s="211"/>
      <c r="G11" s="211">
        <v>365</v>
      </c>
      <c r="H11" s="211">
        <v>370</v>
      </c>
      <c r="I11" s="211"/>
      <c r="J11" s="200"/>
      <c r="M11" s="220" t="s">
        <v>1896</v>
      </c>
      <c r="N11" s="227" t="s">
        <v>1897</v>
      </c>
      <c r="O11" s="228">
        <v>1</v>
      </c>
      <c r="P11" s="226" t="s">
        <v>1924</v>
      </c>
      <c r="Q11" s="219">
        <v>43</v>
      </c>
      <c r="R11" s="219">
        <v>46</v>
      </c>
      <c r="S11" s="219"/>
      <c r="T11" s="218"/>
      <c r="W11" s="233" t="s">
        <v>1596</v>
      </c>
      <c r="X11" s="236">
        <v>10</v>
      </c>
      <c r="Y11" s="236">
        <v>20</v>
      </c>
      <c r="Z11" s="236">
        <v>75</v>
      </c>
      <c r="AA11" s="236">
        <v>100</v>
      </c>
      <c r="AB11" s="236">
        <v>100</v>
      </c>
      <c r="AC11" s="236">
        <v>120</v>
      </c>
      <c r="AD11" s="236">
        <v>125</v>
      </c>
      <c r="AE11" s="236">
        <v>150</v>
      </c>
      <c r="AF11" s="236">
        <v>6</v>
      </c>
      <c r="AG11" s="236">
        <v>8</v>
      </c>
    </row>
    <row r="12" spans="1:33" ht="12.75">
      <c r="A12" s="199" t="s">
        <v>1804</v>
      </c>
      <c r="B12" s="214" t="s">
        <v>1806</v>
      </c>
      <c r="C12" s="211">
        <v>21</v>
      </c>
      <c r="D12" s="215" t="s">
        <v>159</v>
      </c>
      <c r="E12" s="211">
        <v>1</v>
      </c>
      <c r="F12" s="211">
        <v>2</v>
      </c>
      <c r="G12" s="211">
        <v>150</v>
      </c>
      <c r="H12" s="211">
        <v>154</v>
      </c>
      <c r="I12" s="211"/>
      <c r="J12" s="200"/>
      <c r="M12" s="220" t="s">
        <v>1911</v>
      </c>
      <c r="N12" s="227" t="s">
        <v>1912</v>
      </c>
      <c r="O12" s="228"/>
      <c r="P12" s="229" t="s">
        <v>1916</v>
      </c>
      <c r="Q12" s="219">
        <v>26</v>
      </c>
      <c r="R12" s="219">
        <v>32</v>
      </c>
      <c r="S12" s="219">
        <v>27</v>
      </c>
      <c r="T12" s="218"/>
      <c r="W12" s="233" t="s">
        <v>2055</v>
      </c>
      <c r="X12" s="236">
        <f>Fuentes!B38</f>
        <v>10</v>
      </c>
      <c r="Y12" s="236">
        <f>Fuentes!C38</f>
        <v>12</v>
      </c>
      <c r="Z12" s="236">
        <f>Fuentes!D38</f>
        <v>130</v>
      </c>
      <c r="AA12" s="236">
        <f>Fuentes!E38</f>
        <v>142</v>
      </c>
      <c r="AB12" s="236">
        <f>Fuentes!D38+Fuentes!F38</f>
        <v>197</v>
      </c>
      <c r="AC12" s="236">
        <f>Fuentes!E38+Fuentes!G38</f>
        <v>218</v>
      </c>
      <c r="AD12" s="236">
        <v>0</v>
      </c>
      <c r="AE12" s="236">
        <v>0</v>
      </c>
      <c r="AF12" s="236">
        <v>4</v>
      </c>
      <c r="AG12" s="236">
        <v>5</v>
      </c>
    </row>
    <row r="13" spans="1:33" ht="12.75">
      <c r="A13" s="199" t="s">
        <v>1823</v>
      </c>
      <c r="B13" s="210" t="s">
        <v>1827</v>
      </c>
      <c r="C13" s="211">
        <v>63</v>
      </c>
      <c r="D13" s="212" t="s">
        <v>160</v>
      </c>
      <c r="E13" s="211"/>
      <c r="F13" s="211"/>
      <c r="G13" s="211">
        <v>360</v>
      </c>
      <c r="H13" s="211">
        <v>420</v>
      </c>
      <c r="I13" s="211">
        <v>395</v>
      </c>
      <c r="J13" s="200"/>
      <c r="M13" s="218" t="s">
        <v>781</v>
      </c>
      <c r="N13" s="225" t="s">
        <v>785</v>
      </c>
      <c r="O13" s="221"/>
      <c r="P13" s="226" t="s">
        <v>1936</v>
      </c>
      <c r="Q13" s="219">
        <v>11</v>
      </c>
      <c r="R13" s="219">
        <v>13</v>
      </c>
      <c r="S13" s="219">
        <v>13</v>
      </c>
      <c r="T13" s="218"/>
      <c r="W13" s="233" t="s">
        <v>2056</v>
      </c>
      <c r="X13" s="236">
        <f>Fuentes!B39</f>
        <v>8</v>
      </c>
      <c r="Y13" s="236">
        <f>Fuentes!C39</f>
        <v>18</v>
      </c>
      <c r="Z13" s="236">
        <f>Fuentes!D39</f>
        <v>80</v>
      </c>
      <c r="AA13" s="236">
        <f>Fuentes!E39</f>
        <v>102</v>
      </c>
      <c r="AB13" s="236">
        <f>Fuentes!D39+Fuentes!F39</f>
        <v>130</v>
      </c>
      <c r="AC13" s="236">
        <f>Fuentes!E39+Fuentes!G39</f>
        <v>182</v>
      </c>
      <c r="AD13" s="236">
        <v>0</v>
      </c>
      <c r="AE13" s="236">
        <v>0</v>
      </c>
      <c r="AF13" s="236">
        <v>5</v>
      </c>
      <c r="AG13" s="236">
        <v>6</v>
      </c>
    </row>
    <row r="14" spans="1:33" ht="12.75">
      <c r="A14" s="213" t="s">
        <v>1865</v>
      </c>
      <c r="B14" s="214" t="s">
        <v>1866</v>
      </c>
      <c r="C14" s="211"/>
      <c r="D14" s="215"/>
      <c r="E14" s="211"/>
      <c r="F14" s="211"/>
      <c r="G14" s="211">
        <v>30</v>
      </c>
      <c r="H14" s="211">
        <v>40</v>
      </c>
      <c r="I14" s="211">
        <v>33</v>
      </c>
      <c r="J14" s="200"/>
      <c r="M14" s="220" t="s">
        <v>85</v>
      </c>
      <c r="N14" s="225" t="s">
        <v>86</v>
      </c>
      <c r="O14" s="221"/>
      <c r="P14" s="226"/>
      <c r="Q14" s="219">
        <v>35</v>
      </c>
      <c r="R14" s="219">
        <v>42</v>
      </c>
      <c r="S14" s="219"/>
      <c r="T14" s="220" t="s">
        <v>87</v>
      </c>
      <c r="W14" s="233" t="s">
        <v>975</v>
      </c>
      <c r="X14" s="236">
        <v>10</v>
      </c>
      <c r="Y14" s="236">
        <v>20</v>
      </c>
      <c r="Z14" s="236">
        <v>90</v>
      </c>
      <c r="AA14" s="236">
        <v>100</v>
      </c>
      <c r="AB14" s="236">
        <v>130</v>
      </c>
      <c r="AC14" s="236">
        <v>150</v>
      </c>
      <c r="AD14" s="236">
        <v>0</v>
      </c>
      <c r="AE14" s="236">
        <v>0</v>
      </c>
      <c r="AF14" s="236">
        <v>6</v>
      </c>
      <c r="AG14" s="236">
        <v>8</v>
      </c>
    </row>
    <row r="15" spans="1:33" ht="12.75">
      <c r="A15" s="213" t="s">
        <v>1880</v>
      </c>
      <c r="B15" s="210" t="s">
        <v>1884</v>
      </c>
      <c r="C15" s="257" t="s">
        <v>2154</v>
      </c>
      <c r="D15" s="212" t="s">
        <v>158</v>
      </c>
      <c r="E15" s="211">
        <v>0.5</v>
      </c>
      <c r="F15" s="211">
        <v>1</v>
      </c>
      <c r="G15" s="211">
        <v>145</v>
      </c>
      <c r="H15" s="211">
        <v>155</v>
      </c>
      <c r="I15" s="211">
        <v>150</v>
      </c>
      <c r="J15" s="213" t="s">
        <v>1883</v>
      </c>
      <c r="M15" s="220" t="s">
        <v>2196</v>
      </c>
      <c r="N15" s="225" t="s">
        <v>2197</v>
      </c>
      <c r="O15" s="221"/>
      <c r="P15" s="226" t="s">
        <v>2198</v>
      </c>
      <c r="Q15" s="219">
        <v>34</v>
      </c>
      <c r="R15" s="219">
        <v>36</v>
      </c>
      <c r="S15" s="219"/>
      <c r="T15" s="259" t="s">
        <v>2199</v>
      </c>
      <c r="W15" s="233" t="s">
        <v>974</v>
      </c>
      <c r="X15" s="236">
        <v>0</v>
      </c>
      <c r="Y15" s="236">
        <v>0</v>
      </c>
      <c r="Z15" s="236">
        <v>80</v>
      </c>
      <c r="AA15" s="236">
        <v>90</v>
      </c>
      <c r="AB15" s="236">
        <v>100</v>
      </c>
      <c r="AC15" s="236">
        <v>110</v>
      </c>
      <c r="AD15" s="236">
        <v>0</v>
      </c>
      <c r="AE15" s="236">
        <v>0</v>
      </c>
      <c r="AF15" s="236">
        <v>7</v>
      </c>
      <c r="AG15" s="236">
        <v>8</v>
      </c>
    </row>
    <row r="16" spans="1:33" ht="12.75">
      <c r="A16" s="213" t="s">
        <v>1841</v>
      </c>
      <c r="B16" s="210" t="s">
        <v>1842</v>
      </c>
      <c r="C16" s="212" t="s">
        <v>1843</v>
      </c>
      <c r="D16" s="212" t="s">
        <v>159</v>
      </c>
      <c r="E16" s="211">
        <v>2</v>
      </c>
      <c r="F16" s="211">
        <v>9</v>
      </c>
      <c r="G16" s="211">
        <v>360</v>
      </c>
      <c r="H16" s="211">
        <v>390</v>
      </c>
      <c r="I16" s="211"/>
      <c r="J16" s="200"/>
      <c r="M16" s="220" t="s">
        <v>72</v>
      </c>
      <c r="N16" s="225" t="s">
        <v>73</v>
      </c>
      <c r="O16" s="221"/>
      <c r="P16" s="226" t="s">
        <v>74</v>
      </c>
      <c r="Q16" s="219">
        <v>29</v>
      </c>
      <c r="R16" s="219">
        <v>32</v>
      </c>
      <c r="S16" s="219"/>
      <c r="T16" s="218"/>
      <c r="W16" s="233" t="s">
        <v>1814</v>
      </c>
      <c r="X16" s="236">
        <v>7</v>
      </c>
      <c r="Y16" s="236">
        <v>12</v>
      </c>
      <c r="Z16" s="236">
        <v>68</v>
      </c>
      <c r="AA16" s="236">
        <v>80</v>
      </c>
      <c r="AB16" s="236">
        <v>130</v>
      </c>
      <c r="AC16" s="236">
        <v>160</v>
      </c>
      <c r="AD16" s="236">
        <v>170</v>
      </c>
      <c r="AE16" s="236">
        <v>190</v>
      </c>
      <c r="AF16" s="236">
        <v>8</v>
      </c>
      <c r="AG16" s="236">
        <v>12</v>
      </c>
    </row>
    <row r="17" spans="1:33" ht="12.75">
      <c r="A17" s="199" t="s">
        <v>1792</v>
      </c>
      <c r="B17" s="214" t="s">
        <v>1793</v>
      </c>
      <c r="C17" s="211">
        <v>21</v>
      </c>
      <c r="D17" s="215" t="s">
        <v>158</v>
      </c>
      <c r="E17" s="211">
        <v>0.5</v>
      </c>
      <c r="F17" s="211">
        <v>1</v>
      </c>
      <c r="G17" s="211">
        <v>291</v>
      </c>
      <c r="H17" s="211">
        <v>295</v>
      </c>
      <c r="I17" s="211">
        <v>292</v>
      </c>
      <c r="J17" s="213" t="s">
        <v>1794</v>
      </c>
      <c r="M17" s="217" t="s">
        <v>1900</v>
      </c>
      <c r="N17" s="227" t="s">
        <v>1904</v>
      </c>
      <c r="O17" s="228"/>
      <c r="P17" s="226" t="s">
        <v>1933</v>
      </c>
      <c r="Q17" s="219">
        <v>17</v>
      </c>
      <c r="R17" s="219">
        <v>17</v>
      </c>
      <c r="S17" s="219">
        <v>17</v>
      </c>
      <c r="T17" s="218"/>
      <c r="W17" s="233" t="s">
        <v>1815</v>
      </c>
      <c r="X17" s="236">
        <v>7</v>
      </c>
      <c r="Y17" s="236">
        <v>10</v>
      </c>
      <c r="Z17" s="236">
        <v>60</v>
      </c>
      <c r="AA17" s="236">
        <v>80</v>
      </c>
      <c r="AB17" s="236">
        <v>110</v>
      </c>
      <c r="AC17" s="236">
        <v>120</v>
      </c>
      <c r="AD17" s="236">
        <v>150</v>
      </c>
      <c r="AE17" s="236">
        <v>175</v>
      </c>
      <c r="AF17" s="236">
        <v>9</v>
      </c>
      <c r="AG17" s="236">
        <v>11</v>
      </c>
    </row>
    <row r="18" spans="1:33" ht="12.75">
      <c r="A18" s="199" t="s">
        <v>1780</v>
      </c>
      <c r="B18" s="214" t="s">
        <v>1854</v>
      </c>
      <c r="C18" s="211">
        <v>21</v>
      </c>
      <c r="D18" s="215" t="s">
        <v>158</v>
      </c>
      <c r="E18" s="211"/>
      <c r="F18" s="211"/>
      <c r="G18" s="211">
        <v>112</v>
      </c>
      <c r="H18" s="211">
        <v>118</v>
      </c>
      <c r="I18" s="211">
        <v>114</v>
      </c>
      <c r="J18" s="200"/>
      <c r="M18" s="220" t="s">
        <v>1937</v>
      </c>
      <c r="N18" s="227" t="s">
        <v>1938</v>
      </c>
      <c r="O18" s="228"/>
      <c r="P18" s="226" t="s">
        <v>1939</v>
      </c>
      <c r="Q18" s="219">
        <v>56</v>
      </c>
      <c r="R18" s="219">
        <v>60</v>
      </c>
      <c r="S18" s="219"/>
      <c r="T18" s="218"/>
      <c r="W18" s="233" t="s">
        <v>1397</v>
      </c>
      <c r="X18" s="236">
        <v>10</v>
      </c>
      <c r="Y18" s="236">
        <v>15</v>
      </c>
      <c r="Z18" s="236">
        <v>35</v>
      </c>
      <c r="AA18" s="236">
        <v>45</v>
      </c>
      <c r="AB18" s="236">
        <v>0</v>
      </c>
      <c r="AC18" s="236">
        <v>0</v>
      </c>
      <c r="AD18" s="236">
        <v>140</v>
      </c>
      <c r="AE18" s="236">
        <v>160</v>
      </c>
      <c r="AF18" s="236">
        <v>10</v>
      </c>
      <c r="AG18" s="236">
        <v>12</v>
      </c>
    </row>
    <row r="19" spans="1:33" ht="12.75">
      <c r="A19" s="213" t="s">
        <v>1861</v>
      </c>
      <c r="B19" s="210" t="s">
        <v>1862</v>
      </c>
      <c r="C19" s="211">
        <v>36</v>
      </c>
      <c r="D19" s="212"/>
      <c r="E19" s="211">
        <v>6</v>
      </c>
      <c r="F19" s="211">
        <v>7</v>
      </c>
      <c r="G19" s="211">
        <v>230</v>
      </c>
      <c r="H19" s="211">
        <v>230</v>
      </c>
      <c r="I19" s="211">
        <v>230</v>
      </c>
      <c r="J19" s="200"/>
      <c r="M19" s="220" t="s">
        <v>1953</v>
      </c>
      <c r="N19" s="225" t="s">
        <v>2125</v>
      </c>
      <c r="O19" s="221">
        <v>1</v>
      </c>
      <c r="P19" s="226" t="s">
        <v>1927</v>
      </c>
      <c r="Q19" s="219">
        <v>26</v>
      </c>
      <c r="R19" s="219">
        <v>26</v>
      </c>
      <c r="S19" s="219">
        <v>26</v>
      </c>
      <c r="T19" s="220" t="s">
        <v>784</v>
      </c>
      <c r="W19" s="233" t="s">
        <v>968</v>
      </c>
      <c r="X19" s="236">
        <v>5</v>
      </c>
      <c r="Y19" s="236">
        <v>8</v>
      </c>
      <c r="Z19" s="236">
        <v>55</v>
      </c>
      <c r="AA19" s="236">
        <v>70</v>
      </c>
      <c r="AB19" s="236">
        <v>116</v>
      </c>
      <c r="AC19" s="236">
        <v>130</v>
      </c>
      <c r="AD19" s="236">
        <v>150</v>
      </c>
      <c r="AE19" s="236">
        <v>170</v>
      </c>
      <c r="AF19" s="236">
        <v>10</v>
      </c>
      <c r="AG19" s="236">
        <v>12</v>
      </c>
    </row>
    <row r="20" spans="1:33" ht="12.75">
      <c r="A20" s="213" t="s">
        <v>163</v>
      </c>
      <c r="B20" s="210" t="s">
        <v>163</v>
      </c>
      <c r="C20" s="211">
        <v>15</v>
      </c>
      <c r="D20" s="212" t="s">
        <v>158</v>
      </c>
      <c r="E20" s="211"/>
      <c r="F20" s="211"/>
      <c r="G20" s="211">
        <v>126</v>
      </c>
      <c r="H20" s="211">
        <v>126</v>
      </c>
      <c r="I20" s="211">
        <v>126</v>
      </c>
      <c r="J20" s="200"/>
      <c r="M20" s="220" t="s">
        <v>88</v>
      </c>
      <c r="N20" s="225" t="s">
        <v>89</v>
      </c>
      <c r="O20" s="221"/>
      <c r="P20" s="226" t="s">
        <v>1939</v>
      </c>
      <c r="Q20" s="219">
        <v>15</v>
      </c>
      <c r="R20" s="219">
        <v>16</v>
      </c>
      <c r="S20" s="219">
        <v>15</v>
      </c>
      <c r="T20" s="218"/>
      <c r="W20" s="233" t="s">
        <v>969</v>
      </c>
      <c r="X20" s="236">
        <v>8</v>
      </c>
      <c r="Y20" s="236">
        <v>10</v>
      </c>
      <c r="Z20" s="236">
        <v>70</v>
      </c>
      <c r="AA20" s="236">
        <v>90</v>
      </c>
      <c r="AB20" s="236">
        <v>130</v>
      </c>
      <c r="AC20" s="236">
        <v>140</v>
      </c>
      <c r="AD20" s="236">
        <v>160</v>
      </c>
      <c r="AE20" s="236">
        <v>180</v>
      </c>
      <c r="AF20" s="236">
        <v>10</v>
      </c>
      <c r="AG20" s="236">
        <v>12</v>
      </c>
    </row>
    <row r="21" spans="1:33" ht="12.75">
      <c r="A21" s="199" t="s">
        <v>164</v>
      </c>
      <c r="B21" s="210" t="s">
        <v>1846</v>
      </c>
      <c r="C21" s="211">
        <v>24</v>
      </c>
      <c r="D21" s="212" t="s">
        <v>158</v>
      </c>
      <c r="E21" s="211">
        <v>5</v>
      </c>
      <c r="F21" s="211">
        <v>5</v>
      </c>
      <c r="G21" s="211">
        <v>105</v>
      </c>
      <c r="H21" s="211">
        <v>118</v>
      </c>
      <c r="I21" s="211">
        <v>111</v>
      </c>
      <c r="J21" s="200"/>
      <c r="M21" s="217" t="s">
        <v>1901</v>
      </c>
      <c r="N21" s="227" t="s">
        <v>1905</v>
      </c>
      <c r="O21" s="228"/>
      <c r="P21" s="219"/>
      <c r="Q21" s="219">
        <v>23</v>
      </c>
      <c r="R21" s="219">
        <v>26</v>
      </c>
      <c r="S21" s="219"/>
      <c r="T21" s="220"/>
      <c r="W21" s="232" t="s">
        <v>2067</v>
      </c>
      <c r="X21" s="236">
        <v>7</v>
      </c>
      <c r="Y21" s="236">
        <v>9</v>
      </c>
      <c r="Z21" s="236">
        <v>25</v>
      </c>
      <c r="AA21" s="236">
        <v>35</v>
      </c>
      <c r="AB21" s="236">
        <f>Z21+Fuentes!F54</f>
        <v>80</v>
      </c>
      <c r="AC21" s="236">
        <f>AA21+Fuentes!G54</f>
        <v>110</v>
      </c>
      <c r="AD21" s="236">
        <f>AB21+Fuentes!H54</f>
        <v>95</v>
      </c>
      <c r="AE21" s="236">
        <f>AC21+Fuentes!I54</f>
        <v>135</v>
      </c>
      <c r="AF21" s="236">
        <v>10</v>
      </c>
      <c r="AG21" s="236">
        <v>12</v>
      </c>
    </row>
    <row r="22" spans="1:33" ht="12.75">
      <c r="A22" s="213" t="s">
        <v>1881</v>
      </c>
      <c r="B22" s="210" t="s">
        <v>1882</v>
      </c>
      <c r="C22" s="211"/>
      <c r="D22" s="212"/>
      <c r="E22" s="211"/>
      <c r="F22" s="211"/>
      <c r="G22" s="211">
        <v>240</v>
      </c>
      <c r="H22" s="211">
        <v>262</v>
      </c>
      <c r="I22" s="211">
        <v>240</v>
      </c>
      <c r="J22" s="200"/>
      <c r="M22" s="217" t="s">
        <v>1890</v>
      </c>
      <c r="N22" s="227" t="s">
        <v>1891</v>
      </c>
      <c r="O22" s="228"/>
      <c r="P22" s="219"/>
      <c r="Q22" s="219">
        <v>21</v>
      </c>
      <c r="R22" s="219">
        <v>21</v>
      </c>
      <c r="S22" s="219">
        <v>21</v>
      </c>
      <c r="T22" s="218"/>
      <c r="W22" s="232" t="s">
        <v>147</v>
      </c>
      <c r="X22" s="236">
        <f>Fuentes!B55</f>
        <v>7</v>
      </c>
      <c r="Y22" s="236">
        <f>Fuentes!C55</f>
        <v>9</v>
      </c>
      <c r="Z22" s="236">
        <f>Fuentes!D55</f>
        <v>35</v>
      </c>
      <c r="AA22" s="236">
        <f>Fuentes!E55</f>
        <v>45</v>
      </c>
      <c r="AB22" s="236">
        <f>Z22+Fuentes!F55</f>
        <v>95</v>
      </c>
      <c r="AC22" s="236">
        <f>AA22+Fuentes!G55</f>
        <v>115</v>
      </c>
      <c r="AD22" s="236">
        <f>AB22+Fuentes!H55</f>
        <v>105</v>
      </c>
      <c r="AE22" s="236">
        <f>AC22+Fuentes!I55</f>
        <v>145</v>
      </c>
      <c r="AF22" s="236">
        <v>10</v>
      </c>
      <c r="AG22" s="236">
        <v>12</v>
      </c>
    </row>
    <row r="23" spans="1:33" ht="12.75">
      <c r="A23" s="199" t="s">
        <v>1772</v>
      </c>
      <c r="B23" s="210" t="s">
        <v>1773</v>
      </c>
      <c r="C23" s="211">
        <v>16</v>
      </c>
      <c r="D23" s="212" t="s">
        <v>158</v>
      </c>
      <c r="E23" s="211"/>
      <c r="F23" s="211"/>
      <c r="G23" s="211">
        <v>63</v>
      </c>
      <c r="H23" s="211">
        <v>68</v>
      </c>
      <c r="I23" s="211"/>
      <c r="J23" s="200"/>
      <c r="M23" s="217" t="s">
        <v>1929</v>
      </c>
      <c r="N23" s="227" t="s">
        <v>1930</v>
      </c>
      <c r="O23" s="228"/>
      <c r="P23" s="226" t="s">
        <v>1931</v>
      </c>
      <c r="Q23" s="219">
        <v>24</v>
      </c>
      <c r="R23" s="219">
        <v>28</v>
      </c>
      <c r="S23" s="219"/>
      <c r="T23" s="220" t="s">
        <v>1932</v>
      </c>
      <c r="W23" s="232" t="s">
        <v>148</v>
      </c>
      <c r="X23" s="236">
        <f>Fuentes!B56</f>
        <v>7</v>
      </c>
      <c r="Y23" s="236">
        <f>Fuentes!C56</f>
        <v>9</v>
      </c>
      <c r="Z23" s="236">
        <f>Fuentes!D56</f>
        <v>35</v>
      </c>
      <c r="AA23" s="236">
        <f>Fuentes!E56</f>
        <v>50</v>
      </c>
      <c r="AB23" s="236">
        <f>Z23+Fuentes!F56</f>
        <v>110</v>
      </c>
      <c r="AC23" s="236">
        <f>AA23+Fuentes!G56</f>
        <v>130</v>
      </c>
      <c r="AD23" s="236">
        <f>AB23+Fuentes!H56</f>
        <v>120</v>
      </c>
      <c r="AE23" s="236">
        <f>AC23+Fuentes!I56</f>
        <v>160</v>
      </c>
      <c r="AF23" s="236">
        <v>10</v>
      </c>
      <c r="AG23" s="236">
        <v>12</v>
      </c>
    </row>
    <row r="24" spans="1:33" ht="12.75">
      <c r="A24" s="213" t="s">
        <v>439</v>
      </c>
      <c r="B24" s="210" t="s">
        <v>440</v>
      </c>
      <c r="C24" s="200"/>
      <c r="D24" s="212" t="s">
        <v>158</v>
      </c>
      <c r="E24" s="200"/>
      <c r="F24" s="200"/>
      <c r="G24" s="211">
        <v>14</v>
      </c>
      <c r="H24" s="211">
        <v>14</v>
      </c>
      <c r="I24" s="211">
        <v>14</v>
      </c>
      <c r="J24" s="200"/>
      <c r="M24" s="217" t="s">
        <v>1898</v>
      </c>
      <c r="N24" s="225" t="s">
        <v>1899</v>
      </c>
      <c r="O24" s="221"/>
      <c r="P24" s="226" t="s">
        <v>1926</v>
      </c>
      <c r="Q24" s="219">
        <v>27</v>
      </c>
      <c r="R24" s="219">
        <v>29</v>
      </c>
      <c r="S24" s="219"/>
      <c r="T24" s="218"/>
      <c r="W24" s="232" t="s">
        <v>149</v>
      </c>
      <c r="X24" s="236">
        <f>Fuentes!B57</f>
        <v>7</v>
      </c>
      <c r="Y24" s="236">
        <f>Fuentes!C57</f>
        <v>9</v>
      </c>
      <c r="Z24" s="236">
        <f>Fuentes!D57</f>
        <v>45</v>
      </c>
      <c r="AA24" s="236">
        <f>Fuentes!E57</f>
        <v>55</v>
      </c>
      <c r="AB24" s="236">
        <f>Z24+Fuentes!F57</f>
        <v>120</v>
      </c>
      <c r="AC24" s="236">
        <f>AA24+Fuentes!G57</f>
        <v>135</v>
      </c>
      <c r="AD24" s="236">
        <f>AB24+Fuentes!H57</f>
        <v>135</v>
      </c>
      <c r="AE24" s="236">
        <f>AC24+Fuentes!I57</f>
        <v>165</v>
      </c>
      <c r="AF24" s="236">
        <v>10</v>
      </c>
      <c r="AG24" s="236">
        <v>12</v>
      </c>
    </row>
    <row r="25" spans="1:33" ht="12.75">
      <c r="A25" s="199" t="s">
        <v>1777</v>
      </c>
      <c r="B25" s="214" t="s">
        <v>1857</v>
      </c>
      <c r="C25" s="211"/>
      <c r="D25" s="215" t="s">
        <v>160</v>
      </c>
      <c r="E25" s="211"/>
      <c r="F25" s="211"/>
      <c r="G25" s="211">
        <v>30</v>
      </c>
      <c r="H25" s="211">
        <v>33</v>
      </c>
      <c r="I25" s="211">
        <v>33</v>
      </c>
      <c r="J25" s="200"/>
      <c r="M25" s="220" t="s">
        <v>70</v>
      </c>
      <c r="N25" s="225" t="s">
        <v>71</v>
      </c>
      <c r="O25" s="221"/>
      <c r="P25" s="226" t="s">
        <v>1957</v>
      </c>
      <c r="Q25" s="219">
        <v>25</v>
      </c>
      <c r="R25" s="219">
        <v>26</v>
      </c>
      <c r="S25" s="219"/>
      <c r="T25" s="218"/>
      <c r="W25" s="232" t="s">
        <v>150</v>
      </c>
      <c r="X25" s="236">
        <f>Fuentes!B58</f>
        <v>7</v>
      </c>
      <c r="Y25" s="236">
        <f>Fuentes!C58</f>
        <v>9</v>
      </c>
      <c r="Z25" s="236">
        <f>Fuentes!D58</f>
        <v>50</v>
      </c>
      <c r="AA25" s="236">
        <f>Fuentes!E58</f>
        <v>60</v>
      </c>
      <c r="AB25" s="236">
        <f>Z25+Fuentes!F58</f>
        <v>125</v>
      </c>
      <c r="AC25" s="236">
        <f>AA25+Fuentes!G58</f>
        <v>150</v>
      </c>
      <c r="AD25" s="236">
        <f>AB25+Fuentes!H58</f>
        <v>140</v>
      </c>
      <c r="AE25" s="236">
        <f>AC25+Fuentes!I58</f>
        <v>180</v>
      </c>
      <c r="AF25" s="236">
        <v>10</v>
      </c>
      <c r="AG25" s="236">
        <v>12</v>
      </c>
    </row>
    <row r="26" spans="1:33" ht="12.75">
      <c r="A26" s="213" t="s">
        <v>1774</v>
      </c>
      <c r="B26" s="210" t="s">
        <v>1775</v>
      </c>
      <c r="C26" s="211"/>
      <c r="D26" s="212"/>
      <c r="E26" s="211"/>
      <c r="F26" s="211"/>
      <c r="G26" s="211">
        <v>55</v>
      </c>
      <c r="H26" s="211">
        <v>55</v>
      </c>
      <c r="I26" s="211"/>
      <c r="J26" s="200"/>
      <c r="M26" s="220" t="s">
        <v>68</v>
      </c>
      <c r="N26" s="225" t="s">
        <v>69</v>
      </c>
      <c r="O26" s="221"/>
      <c r="P26" s="226" t="s">
        <v>1957</v>
      </c>
      <c r="Q26" s="219">
        <v>30</v>
      </c>
      <c r="R26" s="219">
        <v>23</v>
      </c>
      <c r="S26" s="219"/>
      <c r="T26" s="220"/>
      <c r="W26" s="233" t="s">
        <v>2053</v>
      </c>
      <c r="X26" s="236">
        <f>Fuentes!B59</f>
        <v>7</v>
      </c>
      <c r="Y26" s="236">
        <f>Fuentes!C59</f>
        <v>9</v>
      </c>
      <c r="Z26" s="236">
        <f>Fuentes!D59</f>
        <v>55</v>
      </c>
      <c r="AA26" s="236">
        <f>Fuentes!E59</f>
        <v>70</v>
      </c>
      <c r="AB26" s="236">
        <f>Z26+Fuentes!F59</f>
        <v>135</v>
      </c>
      <c r="AC26" s="236">
        <f>AA26+Fuentes!G59</f>
        <v>165</v>
      </c>
      <c r="AD26" s="236">
        <f>AB26+Fuentes!H59</f>
        <v>150</v>
      </c>
      <c r="AE26" s="236">
        <f>AC26+Fuentes!I59</f>
        <v>195</v>
      </c>
      <c r="AF26" s="236">
        <v>10</v>
      </c>
      <c r="AG26" s="236">
        <v>12</v>
      </c>
    </row>
    <row r="27" spans="1:33" ht="12.75">
      <c r="A27" s="199" t="s">
        <v>1829</v>
      </c>
      <c r="B27" s="210" t="s">
        <v>1828</v>
      </c>
      <c r="C27" s="211">
        <v>28</v>
      </c>
      <c r="D27" s="212"/>
      <c r="E27" s="211"/>
      <c r="F27" s="211"/>
      <c r="G27" s="211">
        <v>360</v>
      </c>
      <c r="H27" s="211">
        <v>440</v>
      </c>
      <c r="I27" s="211"/>
      <c r="J27" s="200"/>
      <c r="M27" s="220" t="s">
        <v>66</v>
      </c>
      <c r="N27" s="225" t="s">
        <v>67</v>
      </c>
      <c r="O27" s="221"/>
      <c r="P27" s="226" t="s">
        <v>1936</v>
      </c>
      <c r="Q27" s="219">
        <v>14</v>
      </c>
      <c r="R27" s="219">
        <v>19</v>
      </c>
      <c r="S27" s="219"/>
      <c r="T27" s="218"/>
      <c r="W27" s="233" t="s">
        <v>2068</v>
      </c>
      <c r="X27" s="236">
        <f>Fuentes!B60</f>
        <v>7</v>
      </c>
      <c r="Y27" s="236">
        <f>Fuentes!C60</f>
        <v>9</v>
      </c>
      <c r="Z27" s="236">
        <f>Fuentes!D60</f>
        <v>70</v>
      </c>
      <c r="AA27" s="236">
        <f>Fuentes!E60</f>
        <v>100</v>
      </c>
      <c r="AB27" s="236">
        <f>Z27+Fuentes!F60</f>
        <v>165</v>
      </c>
      <c r="AC27" s="236">
        <f>AA27+Fuentes!G60</f>
        <v>195</v>
      </c>
      <c r="AD27" s="236">
        <f>AB27+Fuentes!H60</f>
        <v>180</v>
      </c>
      <c r="AE27" s="236">
        <f>AC27+Fuentes!I60</f>
        <v>225</v>
      </c>
      <c r="AF27" s="236">
        <v>10</v>
      </c>
      <c r="AG27" s="236">
        <v>12</v>
      </c>
    </row>
    <row r="28" spans="1:20" ht="12.75">
      <c r="A28" s="213" t="s">
        <v>1878</v>
      </c>
      <c r="B28" s="214" t="s">
        <v>1877</v>
      </c>
      <c r="C28" s="211"/>
      <c r="D28" s="215"/>
      <c r="E28" s="211"/>
      <c r="F28" s="211"/>
      <c r="G28" s="211">
        <v>600</v>
      </c>
      <c r="H28" s="211">
        <v>660</v>
      </c>
      <c r="I28" s="211">
        <v>640</v>
      </c>
      <c r="J28" s="200"/>
      <c r="M28" s="220" t="s">
        <v>1934</v>
      </c>
      <c r="N28" s="225" t="s">
        <v>1935</v>
      </c>
      <c r="O28" s="221"/>
      <c r="P28" s="226" t="s">
        <v>1936</v>
      </c>
      <c r="Q28" s="219">
        <v>10</v>
      </c>
      <c r="R28" s="219">
        <v>10</v>
      </c>
      <c r="S28" s="219">
        <v>10</v>
      </c>
      <c r="T28" s="218"/>
    </row>
    <row r="29" spans="1:20" ht="12.75">
      <c r="A29" s="213" t="s">
        <v>1970</v>
      </c>
      <c r="B29" s="210" t="s">
        <v>1971</v>
      </c>
      <c r="C29" s="211"/>
      <c r="D29" s="212"/>
      <c r="E29" s="211"/>
      <c r="F29" s="211"/>
      <c r="G29" s="211">
        <v>340</v>
      </c>
      <c r="H29" s="211">
        <v>340</v>
      </c>
      <c r="I29" s="211">
        <v>340</v>
      </c>
      <c r="J29" s="200"/>
      <c r="M29" s="220" t="s">
        <v>2207</v>
      </c>
      <c r="N29" s="225" t="s">
        <v>2208</v>
      </c>
      <c r="O29" s="221">
        <v>1</v>
      </c>
      <c r="P29" s="226" t="s">
        <v>1915</v>
      </c>
      <c r="Q29" s="219">
        <v>29</v>
      </c>
      <c r="R29" s="219">
        <v>33</v>
      </c>
      <c r="S29" s="219"/>
      <c r="T29" s="218"/>
    </row>
    <row r="30" spans="1:31" ht="12.75">
      <c r="A30" s="199" t="s">
        <v>1786</v>
      </c>
      <c r="B30" s="210" t="s">
        <v>1787</v>
      </c>
      <c r="C30" s="211">
        <v>18</v>
      </c>
      <c r="D30" s="212" t="s">
        <v>162</v>
      </c>
      <c r="E30" s="211">
        <v>4</v>
      </c>
      <c r="F30" s="211">
        <v>7</v>
      </c>
      <c r="G30" s="211">
        <v>64</v>
      </c>
      <c r="H30" s="211">
        <v>67</v>
      </c>
      <c r="I30" s="211"/>
      <c r="J30" s="200"/>
      <c r="M30" s="220" t="s">
        <v>1902</v>
      </c>
      <c r="N30" s="227" t="s">
        <v>1903</v>
      </c>
      <c r="O30" s="228">
        <v>1</v>
      </c>
      <c r="P30" s="226" t="s">
        <v>1915</v>
      </c>
      <c r="Q30" s="219">
        <v>15</v>
      </c>
      <c r="R30" s="219">
        <v>15</v>
      </c>
      <c r="S30" s="219">
        <v>15</v>
      </c>
      <c r="T30" s="218"/>
      <c r="W30" s="231" t="s">
        <v>2218</v>
      </c>
      <c r="X30" s="236"/>
      <c r="Y30" s="236"/>
      <c r="Z30" s="236"/>
      <c r="AA30" s="236"/>
      <c r="AB30" s="236"/>
      <c r="AC30" s="236"/>
      <c r="AD30" s="236"/>
      <c r="AE30" s="236"/>
    </row>
    <row r="31" spans="1:31" ht="12.75">
      <c r="A31" s="199" t="s">
        <v>1795</v>
      </c>
      <c r="B31" s="214" t="s">
        <v>1796</v>
      </c>
      <c r="C31" s="211"/>
      <c r="D31" s="215"/>
      <c r="E31" s="211"/>
      <c r="F31" s="211"/>
      <c r="G31" s="211">
        <v>270</v>
      </c>
      <c r="H31" s="211">
        <v>280</v>
      </c>
      <c r="I31" s="211">
        <v>275</v>
      </c>
      <c r="J31" s="200"/>
      <c r="M31" s="220" t="s">
        <v>77</v>
      </c>
      <c r="N31" s="225" t="s">
        <v>78</v>
      </c>
      <c r="O31" s="221">
        <v>2</v>
      </c>
      <c r="P31" s="226" t="s">
        <v>1927</v>
      </c>
      <c r="Q31" s="219">
        <v>21</v>
      </c>
      <c r="R31" s="219">
        <v>28</v>
      </c>
      <c r="S31" s="219">
        <v>28</v>
      </c>
      <c r="T31" s="220" t="s">
        <v>79</v>
      </c>
      <c r="W31" s="233" t="s">
        <v>783</v>
      </c>
      <c r="X31" s="232"/>
      <c r="Y31" s="232"/>
      <c r="Z31" s="232"/>
      <c r="AA31" s="232"/>
      <c r="AB31" s="232"/>
      <c r="AC31" s="232"/>
      <c r="AD31" s="232"/>
      <c r="AE31" s="232"/>
    </row>
    <row r="32" spans="1:31" ht="12.75">
      <c r="A32" s="199" t="s">
        <v>94</v>
      </c>
      <c r="B32" s="210" t="s">
        <v>95</v>
      </c>
      <c r="C32" s="211"/>
      <c r="D32" s="212"/>
      <c r="E32" s="211"/>
      <c r="F32" s="211"/>
      <c r="G32" s="211">
        <v>243</v>
      </c>
      <c r="H32" s="211">
        <v>273</v>
      </c>
      <c r="I32" s="211"/>
      <c r="J32" s="213"/>
      <c r="M32" s="220" t="s">
        <v>1988</v>
      </c>
      <c r="N32" s="225" t="s">
        <v>1987</v>
      </c>
      <c r="O32" s="221"/>
      <c r="P32" s="226" t="s">
        <v>1986</v>
      </c>
      <c r="Q32" s="219">
        <v>26</v>
      </c>
      <c r="R32" s="219">
        <v>29</v>
      </c>
      <c r="S32" s="219"/>
      <c r="T32" s="220"/>
      <c r="W32" s="233" t="s">
        <v>972</v>
      </c>
      <c r="X32" s="232"/>
      <c r="Y32" s="232"/>
      <c r="Z32" s="232"/>
      <c r="AA32" s="232"/>
      <c r="AB32" s="232"/>
      <c r="AC32" s="232"/>
      <c r="AD32" s="232"/>
      <c r="AE32" s="232"/>
    </row>
    <row r="33" spans="1:31" ht="12.75">
      <c r="A33" s="213" t="s">
        <v>1863</v>
      </c>
      <c r="B33" s="210" t="s">
        <v>1864</v>
      </c>
      <c r="C33" s="211">
        <v>28</v>
      </c>
      <c r="D33" s="212"/>
      <c r="E33" s="211"/>
      <c r="F33" s="211"/>
      <c r="G33" s="211">
        <v>255</v>
      </c>
      <c r="H33" s="211">
        <v>270</v>
      </c>
      <c r="I33" s="211"/>
      <c r="J33" s="200"/>
      <c r="M33" s="220" t="s">
        <v>1979</v>
      </c>
      <c r="N33" s="227" t="s">
        <v>1978</v>
      </c>
      <c r="O33" s="228"/>
      <c r="P33" s="226" t="s">
        <v>1957</v>
      </c>
      <c r="Q33" s="219">
        <v>16</v>
      </c>
      <c r="R33" s="219">
        <v>17</v>
      </c>
      <c r="S33" s="218"/>
      <c r="T33" s="218"/>
      <c r="W33" s="233" t="s">
        <v>973</v>
      </c>
      <c r="X33" s="232"/>
      <c r="Y33" s="232"/>
      <c r="Z33" s="232"/>
      <c r="AA33" s="232"/>
      <c r="AB33" s="232"/>
      <c r="AC33" s="232"/>
      <c r="AD33" s="232"/>
      <c r="AE33" s="232"/>
    </row>
    <row r="34" spans="1:31" ht="12.75">
      <c r="A34" s="199" t="s">
        <v>1821</v>
      </c>
      <c r="B34" s="210" t="s">
        <v>1824</v>
      </c>
      <c r="C34" s="211"/>
      <c r="D34" s="212"/>
      <c r="E34" s="211"/>
      <c r="F34" s="211"/>
      <c r="G34" s="211">
        <v>330</v>
      </c>
      <c r="H34" s="211">
        <v>335</v>
      </c>
      <c r="I34" s="211"/>
      <c r="J34" s="200"/>
      <c r="M34" s="220" t="s">
        <v>75</v>
      </c>
      <c r="N34" s="225" t="s">
        <v>76</v>
      </c>
      <c r="O34" s="221"/>
      <c r="P34" s="226" t="s">
        <v>1915</v>
      </c>
      <c r="Q34" s="219">
        <v>23</v>
      </c>
      <c r="R34" s="219">
        <v>25</v>
      </c>
      <c r="S34" s="219"/>
      <c r="T34" s="218"/>
      <c r="W34" s="231" t="s">
        <v>285</v>
      </c>
      <c r="X34" s="233"/>
      <c r="Y34" s="233"/>
      <c r="Z34" s="233"/>
      <c r="AA34" s="233"/>
      <c r="AB34" s="233"/>
      <c r="AC34" s="233"/>
      <c r="AD34" s="233"/>
      <c r="AE34" s="233"/>
    </row>
    <row r="35" spans="1:23" ht="12.75">
      <c r="A35" s="199" t="s">
        <v>165</v>
      </c>
      <c r="B35" s="210" t="s">
        <v>432</v>
      </c>
      <c r="C35" s="211">
        <v>4</v>
      </c>
      <c r="D35" s="212" t="s">
        <v>158</v>
      </c>
      <c r="E35" s="216"/>
      <c r="F35" s="216"/>
      <c r="G35" s="211">
        <v>16</v>
      </c>
      <c r="H35" s="211">
        <v>16</v>
      </c>
      <c r="I35" s="211">
        <v>16</v>
      </c>
      <c r="J35" s="213" t="s">
        <v>433</v>
      </c>
      <c r="M35" s="220" t="s">
        <v>448</v>
      </c>
      <c r="N35" s="225" t="s">
        <v>449</v>
      </c>
      <c r="O35" s="221">
        <v>3</v>
      </c>
      <c r="P35" s="226" t="s">
        <v>450</v>
      </c>
      <c r="Q35" s="219">
        <v>21</v>
      </c>
      <c r="R35" s="219">
        <v>21</v>
      </c>
      <c r="S35" s="219">
        <v>21</v>
      </c>
      <c r="T35" s="218"/>
      <c r="W35" s="108"/>
    </row>
    <row r="36" spans="1:20" ht="12.75">
      <c r="A36" s="200" t="s">
        <v>782</v>
      </c>
      <c r="B36" s="210" t="s">
        <v>431</v>
      </c>
      <c r="C36" s="200"/>
      <c r="D36" s="212"/>
      <c r="E36" s="200"/>
      <c r="F36" s="200"/>
      <c r="G36" s="211">
        <v>42</v>
      </c>
      <c r="H36" s="211">
        <v>42</v>
      </c>
      <c r="I36" s="211">
        <v>42</v>
      </c>
      <c r="J36" s="200"/>
      <c r="M36" s="220" t="s">
        <v>1886</v>
      </c>
      <c r="N36" s="225" t="s">
        <v>1887</v>
      </c>
      <c r="O36" s="221"/>
      <c r="P36" s="219">
        <v>40</v>
      </c>
      <c r="Q36" s="219">
        <v>35</v>
      </c>
      <c r="R36" s="219">
        <v>45</v>
      </c>
      <c r="S36" s="219">
        <v>42</v>
      </c>
      <c r="T36" s="220" t="s">
        <v>1885</v>
      </c>
    </row>
    <row r="37" spans="1:20" ht="12.75">
      <c r="A37" s="213" t="s">
        <v>1856</v>
      </c>
      <c r="B37" s="214" t="s">
        <v>1855</v>
      </c>
      <c r="C37" s="211"/>
      <c r="D37" s="215"/>
      <c r="E37" s="211"/>
      <c r="F37" s="211"/>
      <c r="G37" s="211">
        <v>112</v>
      </c>
      <c r="H37" s="211">
        <v>118</v>
      </c>
      <c r="I37" s="211"/>
      <c r="J37" s="200"/>
      <c r="M37" s="220" t="s">
        <v>90</v>
      </c>
      <c r="N37" s="225" t="s">
        <v>91</v>
      </c>
      <c r="O37" s="221"/>
      <c r="P37" s="226" t="s">
        <v>1939</v>
      </c>
      <c r="Q37" s="219">
        <v>23</v>
      </c>
      <c r="R37" s="219">
        <v>23</v>
      </c>
      <c r="S37" s="219">
        <v>23</v>
      </c>
      <c r="T37" s="218"/>
    </row>
    <row r="38" spans="1:33" ht="12.75">
      <c r="A38" s="213" t="s">
        <v>1832</v>
      </c>
      <c r="B38" s="210" t="s">
        <v>1833</v>
      </c>
      <c r="C38" s="211">
        <v>37</v>
      </c>
      <c r="D38" s="212"/>
      <c r="E38" s="211">
        <v>6</v>
      </c>
      <c r="F38" s="211">
        <v>17</v>
      </c>
      <c r="G38" s="211">
        <v>93</v>
      </c>
      <c r="H38" s="211">
        <v>105</v>
      </c>
      <c r="I38" s="211"/>
      <c r="J38" s="213" t="s">
        <v>1837</v>
      </c>
      <c r="M38" s="217" t="s">
        <v>1947</v>
      </c>
      <c r="N38" s="225" t="s">
        <v>1940</v>
      </c>
      <c r="O38" s="221"/>
      <c r="P38" s="219">
        <v>2</v>
      </c>
      <c r="Q38" s="219">
        <v>17</v>
      </c>
      <c r="R38" s="219">
        <v>17</v>
      </c>
      <c r="S38" s="219">
        <v>17</v>
      </c>
      <c r="T38" s="218"/>
      <c r="W38" s="233" t="s">
        <v>2063</v>
      </c>
      <c r="X38" s="35">
        <v>12</v>
      </c>
      <c r="Y38" s="35">
        <v>16</v>
      </c>
      <c r="Z38" s="35">
        <v>85</v>
      </c>
      <c r="AA38" s="35">
        <v>95</v>
      </c>
      <c r="AB38" s="35">
        <v>0</v>
      </c>
      <c r="AC38" s="35">
        <v>0</v>
      </c>
      <c r="AD38" s="35">
        <v>0</v>
      </c>
      <c r="AE38" s="35">
        <v>0</v>
      </c>
      <c r="AF38" s="35">
        <v>6</v>
      </c>
      <c r="AG38" s="35">
        <v>8</v>
      </c>
    </row>
    <row r="39" spans="1:33" ht="12.75">
      <c r="A39" s="213" t="s">
        <v>1871</v>
      </c>
      <c r="B39" s="210" t="s">
        <v>1872</v>
      </c>
      <c r="C39" s="211"/>
      <c r="D39" s="212"/>
      <c r="E39" s="211"/>
      <c r="F39" s="211"/>
      <c r="G39" s="211">
        <v>400</v>
      </c>
      <c r="H39" s="211">
        <v>460</v>
      </c>
      <c r="I39" s="211"/>
      <c r="J39" s="200"/>
      <c r="M39" s="220" t="s">
        <v>1951</v>
      </c>
      <c r="N39" s="227" t="s">
        <v>1952</v>
      </c>
      <c r="O39" s="230" t="s">
        <v>74</v>
      </c>
      <c r="P39" s="226" t="s">
        <v>1939</v>
      </c>
      <c r="Q39" s="219">
        <v>12</v>
      </c>
      <c r="R39" s="219">
        <v>14</v>
      </c>
      <c r="S39" s="219"/>
      <c r="T39" s="218"/>
      <c r="W39" s="233" t="s">
        <v>1597</v>
      </c>
      <c r="AF39">
        <v>6</v>
      </c>
      <c r="AG39">
        <v>7</v>
      </c>
    </row>
    <row r="40" spans="1:33" ht="12.75">
      <c r="A40" s="213" t="s">
        <v>1797</v>
      </c>
      <c r="B40" s="214" t="s">
        <v>1785</v>
      </c>
      <c r="C40" s="211"/>
      <c r="D40" s="215"/>
      <c r="E40" s="211"/>
      <c r="F40" s="211"/>
      <c r="G40" s="211">
        <v>18</v>
      </c>
      <c r="H40" s="211">
        <v>19</v>
      </c>
      <c r="I40" s="211"/>
      <c r="J40" s="213" t="s">
        <v>1799</v>
      </c>
      <c r="M40" s="217" t="s">
        <v>1888</v>
      </c>
      <c r="N40" s="225" t="s">
        <v>1889</v>
      </c>
      <c r="O40" s="221"/>
      <c r="P40" s="219"/>
      <c r="Q40" s="219">
        <v>28</v>
      </c>
      <c r="R40" s="219">
        <v>28</v>
      </c>
      <c r="S40" s="219">
        <v>28</v>
      </c>
      <c r="T40" s="218"/>
      <c r="W40" s="233" t="s">
        <v>2064</v>
      </c>
      <c r="X40" s="35">
        <v>7</v>
      </c>
      <c r="Y40" s="35">
        <v>10</v>
      </c>
      <c r="Z40" s="35">
        <v>75</v>
      </c>
      <c r="AA40" s="35">
        <v>85</v>
      </c>
      <c r="AB40" s="35"/>
      <c r="AC40" s="35"/>
      <c r="AD40" s="35">
        <v>130</v>
      </c>
      <c r="AE40" s="35">
        <v>160</v>
      </c>
      <c r="AF40" s="35">
        <v>10</v>
      </c>
      <c r="AG40" s="35">
        <v>11</v>
      </c>
    </row>
    <row r="41" spans="1:33" ht="12.75">
      <c r="A41" s="213" t="s">
        <v>1779</v>
      </c>
      <c r="B41" s="214" t="s">
        <v>1838</v>
      </c>
      <c r="C41" s="211"/>
      <c r="D41" s="215"/>
      <c r="E41" s="211"/>
      <c r="F41" s="211"/>
      <c r="G41" s="211">
        <v>108</v>
      </c>
      <c r="H41" s="211">
        <v>110</v>
      </c>
      <c r="I41" s="211"/>
      <c r="J41" s="200"/>
      <c r="M41" s="217" t="s">
        <v>1892</v>
      </c>
      <c r="N41" s="227" t="s">
        <v>1893</v>
      </c>
      <c r="O41" s="228"/>
      <c r="P41" s="226" t="s">
        <v>1927</v>
      </c>
      <c r="Q41" s="219">
        <v>28</v>
      </c>
      <c r="R41" s="219">
        <v>28</v>
      </c>
      <c r="S41" s="219">
        <v>28</v>
      </c>
      <c r="T41" s="218"/>
      <c r="W41" s="233" t="s">
        <v>2065</v>
      </c>
      <c r="X41">
        <v>7</v>
      </c>
      <c r="Y41">
        <v>10</v>
      </c>
      <c r="Z41">
        <v>95</v>
      </c>
      <c r="AA41">
        <v>105</v>
      </c>
      <c r="AF41">
        <v>9</v>
      </c>
      <c r="AG41">
        <v>11</v>
      </c>
    </row>
    <row r="42" spans="1:33" ht="12.75">
      <c r="A42" s="213" t="s">
        <v>1835</v>
      </c>
      <c r="B42" s="210" t="s">
        <v>1834</v>
      </c>
      <c r="C42" s="211">
        <v>27</v>
      </c>
      <c r="D42" s="212"/>
      <c r="E42" s="211">
        <v>6</v>
      </c>
      <c r="F42" s="211">
        <v>7</v>
      </c>
      <c r="G42" s="211">
        <v>90</v>
      </c>
      <c r="H42" s="211">
        <v>105</v>
      </c>
      <c r="I42" s="211"/>
      <c r="J42" s="200"/>
      <c r="M42" s="217" t="s">
        <v>1948</v>
      </c>
      <c r="N42" s="227" t="s">
        <v>1950</v>
      </c>
      <c r="O42" s="228"/>
      <c r="P42" s="226" t="s">
        <v>1949</v>
      </c>
      <c r="Q42" s="219">
        <v>28</v>
      </c>
      <c r="R42" s="219">
        <v>30</v>
      </c>
      <c r="S42" s="219">
        <v>28</v>
      </c>
      <c r="T42" s="220"/>
      <c r="W42" s="233" t="s">
        <v>1598</v>
      </c>
      <c r="AF42">
        <v>10</v>
      </c>
      <c r="AG42">
        <v>12</v>
      </c>
    </row>
    <row r="43" spans="1:33" ht="12.75">
      <c r="A43" s="213" t="s">
        <v>1852</v>
      </c>
      <c r="B43" s="210" t="s">
        <v>1853</v>
      </c>
      <c r="C43" s="211"/>
      <c r="D43" s="212"/>
      <c r="E43" s="211"/>
      <c r="F43" s="211"/>
      <c r="G43" s="211">
        <v>42</v>
      </c>
      <c r="H43" s="211">
        <v>42</v>
      </c>
      <c r="I43" s="211">
        <v>42</v>
      </c>
      <c r="J43" s="200"/>
      <c r="M43" s="220" t="s">
        <v>1956</v>
      </c>
      <c r="N43" s="227" t="s">
        <v>1958</v>
      </c>
      <c r="O43" s="228"/>
      <c r="P43" s="226" t="s">
        <v>1957</v>
      </c>
      <c r="Q43" s="219">
        <v>13</v>
      </c>
      <c r="R43" s="219">
        <v>13</v>
      </c>
      <c r="S43" s="219">
        <v>13</v>
      </c>
      <c r="T43" s="218"/>
      <c r="W43" s="233" t="s">
        <v>1599</v>
      </c>
      <c r="X43" s="35"/>
      <c r="Y43" s="35"/>
      <c r="Z43" s="35"/>
      <c r="AA43" s="35"/>
      <c r="AB43" s="35"/>
      <c r="AC43" s="35"/>
      <c r="AD43" s="35">
        <v>150</v>
      </c>
      <c r="AE43" s="35">
        <v>180</v>
      </c>
      <c r="AF43">
        <v>10</v>
      </c>
      <c r="AG43">
        <v>11</v>
      </c>
    </row>
    <row r="44" spans="1:31" ht="12.75">
      <c r="A44" s="199" t="s">
        <v>190</v>
      </c>
      <c r="B44" s="210" t="s">
        <v>1822</v>
      </c>
      <c r="C44" s="211"/>
      <c r="D44" s="212"/>
      <c r="E44" s="211"/>
      <c r="F44" s="211"/>
      <c r="G44" s="211">
        <v>330</v>
      </c>
      <c r="H44" s="211">
        <v>360</v>
      </c>
      <c r="I44" s="211">
        <v>335</v>
      </c>
      <c r="J44" s="200"/>
      <c r="M44" s="220" t="s">
        <v>1977</v>
      </c>
      <c r="N44" s="225" t="s">
        <v>1976</v>
      </c>
      <c r="O44" s="226" t="s">
        <v>444</v>
      </c>
      <c r="P44" s="226" t="s">
        <v>1926</v>
      </c>
      <c r="Q44" s="219">
        <v>16</v>
      </c>
      <c r="R44" s="219">
        <v>18</v>
      </c>
      <c r="S44" s="219">
        <v>17</v>
      </c>
      <c r="T44" s="220" t="s">
        <v>1885</v>
      </c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ht="12.75">
      <c r="A45" s="213" t="s">
        <v>1805</v>
      </c>
      <c r="B45" s="214" t="s">
        <v>1808</v>
      </c>
      <c r="C45" s="211"/>
      <c r="D45" s="215"/>
      <c r="E45" s="211"/>
      <c r="F45" s="211"/>
      <c r="G45" s="211">
        <v>60</v>
      </c>
      <c r="H45" s="211">
        <v>63</v>
      </c>
      <c r="I45" s="211"/>
      <c r="J45" s="200"/>
      <c r="M45" s="220" t="s">
        <v>2200</v>
      </c>
      <c r="N45" s="227" t="s">
        <v>2201</v>
      </c>
      <c r="O45" s="228"/>
      <c r="P45" s="219">
        <v>2</v>
      </c>
      <c r="Q45" s="238" t="s">
        <v>456</v>
      </c>
      <c r="R45" s="238" t="s">
        <v>456</v>
      </c>
      <c r="S45" s="219"/>
      <c r="T45" s="220" t="s">
        <v>2202</v>
      </c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ht="12.75">
      <c r="A46" s="213" t="s">
        <v>1972</v>
      </c>
      <c r="B46" s="210" t="s">
        <v>1973</v>
      </c>
      <c r="C46" s="211"/>
      <c r="D46" s="212"/>
      <c r="E46" s="211"/>
      <c r="F46" s="211"/>
      <c r="G46" s="211">
        <v>350</v>
      </c>
      <c r="H46" s="211">
        <v>350</v>
      </c>
      <c r="I46" s="211">
        <v>350</v>
      </c>
      <c r="J46" s="200"/>
      <c r="M46" s="220" t="s">
        <v>1960</v>
      </c>
      <c r="N46" s="227" t="s">
        <v>1962</v>
      </c>
      <c r="O46" s="228">
        <v>1</v>
      </c>
      <c r="P46" s="219">
        <v>2</v>
      </c>
      <c r="Q46" s="219">
        <v>32</v>
      </c>
      <c r="R46" s="219">
        <v>38</v>
      </c>
      <c r="S46" s="219"/>
      <c r="T46" s="220" t="s">
        <v>1963</v>
      </c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ht="12.75">
      <c r="A47" s="213" t="s">
        <v>1802</v>
      </c>
      <c r="B47" s="214" t="s">
        <v>1803</v>
      </c>
      <c r="C47" s="211"/>
      <c r="D47" s="215"/>
      <c r="E47" s="211"/>
      <c r="F47" s="211"/>
      <c r="G47" s="211">
        <v>150</v>
      </c>
      <c r="H47" s="211">
        <v>150</v>
      </c>
      <c r="I47" s="211">
        <v>150</v>
      </c>
      <c r="J47" s="200"/>
      <c r="M47" s="220" t="s">
        <v>1964</v>
      </c>
      <c r="N47" s="227" t="s">
        <v>1965</v>
      </c>
      <c r="O47" s="228">
        <v>1</v>
      </c>
      <c r="P47" s="219">
        <v>2</v>
      </c>
      <c r="Q47" s="219">
        <v>35</v>
      </c>
      <c r="R47" s="219">
        <v>35</v>
      </c>
      <c r="S47" s="219">
        <v>35</v>
      </c>
      <c r="T47" s="220" t="s">
        <v>1963</v>
      </c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ht="12.75">
      <c r="A48" s="199" t="s">
        <v>1849</v>
      </c>
      <c r="B48" s="210" t="s">
        <v>1850</v>
      </c>
      <c r="C48" s="211">
        <v>27</v>
      </c>
      <c r="D48" s="212" t="s">
        <v>158</v>
      </c>
      <c r="E48" s="211"/>
      <c r="F48" s="211"/>
      <c r="G48" s="211">
        <v>130</v>
      </c>
      <c r="H48" s="211">
        <v>133</v>
      </c>
      <c r="I48" s="211"/>
      <c r="J48" s="213" t="s">
        <v>1851</v>
      </c>
      <c r="M48" s="220" t="s">
        <v>1961</v>
      </c>
      <c r="N48" s="227" t="s">
        <v>1959</v>
      </c>
      <c r="O48" s="228">
        <v>1</v>
      </c>
      <c r="P48" s="219">
        <v>1</v>
      </c>
      <c r="Q48" s="219">
        <v>64</v>
      </c>
      <c r="R48" s="219">
        <v>67</v>
      </c>
      <c r="S48" s="219"/>
      <c r="T48" s="220" t="s">
        <v>1885</v>
      </c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ht="12.75">
      <c r="A49" s="200" t="s">
        <v>1776</v>
      </c>
      <c r="B49" s="214" t="s">
        <v>1870</v>
      </c>
      <c r="C49" s="211"/>
      <c r="D49" s="215"/>
      <c r="E49" s="211">
        <v>15</v>
      </c>
      <c r="F49" s="211">
        <v>15</v>
      </c>
      <c r="G49" s="211">
        <v>435</v>
      </c>
      <c r="H49" s="211">
        <v>445</v>
      </c>
      <c r="I49" s="211"/>
      <c r="J49" s="200"/>
      <c r="M49" s="220" t="s">
        <v>1968</v>
      </c>
      <c r="N49" s="227" t="s">
        <v>1969</v>
      </c>
      <c r="O49" s="228">
        <v>1</v>
      </c>
      <c r="P49" s="219">
        <v>2</v>
      </c>
      <c r="Q49" s="219">
        <v>34</v>
      </c>
      <c r="R49" s="219">
        <v>36</v>
      </c>
      <c r="S49" s="219"/>
      <c r="T49" s="220" t="s">
        <v>1963</v>
      </c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ht="12.75">
      <c r="A50" s="199" t="s">
        <v>1800</v>
      </c>
      <c r="B50" s="214" t="s">
        <v>1801</v>
      </c>
      <c r="C50" s="211">
        <v>17</v>
      </c>
      <c r="D50" s="215" t="s">
        <v>159</v>
      </c>
      <c r="E50" s="211"/>
      <c r="F50" s="211"/>
      <c r="G50" s="211">
        <v>149</v>
      </c>
      <c r="H50" s="211">
        <v>150</v>
      </c>
      <c r="I50" s="211"/>
      <c r="J50" s="200"/>
      <c r="M50" s="220" t="s">
        <v>1966</v>
      </c>
      <c r="N50" s="227" t="s">
        <v>1967</v>
      </c>
      <c r="O50" s="228">
        <v>1</v>
      </c>
      <c r="P50" s="219">
        <v>1</v>
      </c>
      <c r="Q50" s="219">
        <v>55</v>
      </c>
      <c r="R50" s="219">
        <v>56</v>
      </c>
      <c r="S50" s="219">
        <v>55</v>
      </c>
      <c r="T50" s="220" t="s">
        <v>1963</v>
      </c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ht="12.75">
      <c r="A51" s="199" t="s">
        <v>1778</v>
      </c>
      <c r="B51" s="214" t="s">
        <v>1867</v>
      </c>
      <c r="C51" s="211">
        <v>180</v>
      </c>
      <c r="D51" s="215" t="s">
        <v>161</v>
      </c>
      <c r="E51" s="211">
        <v>2</v>
      </c>
      <c r="F51" s="211">
        <v>12</v>
      </c>
      <c r="G51" s="211">
        <v>58</v>
      </c>
      <c r="H51" s="211">
        <v>72</v>
      </c>
      <c r="I51" s="211">
        <v>63</v>
      </c>
      <c r="J51" s="200"/>
      <c r="M51" s="220" t="s">
        <v>1917</v>
      </c>
      <c r="N51" s="225" t="s">
        <v>1919</v>
      </c>
      <c r="O51" s="221"/>
      <c r="P51" s="226" t="s">
        <v>1918</v>
      </c>
      <c r="Q51" s="219">
        <v>10</v>
      </c>
      <c r="R51" s="219">
        <v>15</v>
      </c>
      <c r="S51" s="219"/>
      <c r="T51" s="218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ht="12.75">
      <c r="A52" s="213" t="s">
        <v>1830</v>
      </c>
      <c r="B52" s="210" t="s">
        <v>1831</v>
      </c>
      <c r="C52" s="211">
        <v>23</v>
      </c>
      <c r="D52" s="212"/>
      <c r="E52" s="211">
        <v>8</v>
      </c>
      <c r="F52" s="211">
        <v>8</v>
      </c>
      <c r="G52" s="211">
        <v>91</v>
      </c>
      <c r="H52" s="211">
        <v>91</v>
      </c>
      <c r="I52" s="211"/>
      <c r="J52" s="200"/>
      <c r="M52" s="220" t="s">
        <v>80</v>
      </c>
      <c r="N52" s="225" t="s">
        <v>81</v>
      </c>
      <c r="O52" s="221">
        <v>2</v>
      </c>
      <c r="P52" s="226" t="s">
        <v>82</v>
      </c>
      <c r="Q52" s="219">
        <v>12</v>
      </c>
      <c r="R52" s="219">
        <v>19</v>
      </c>
      <c r="S52" s="219"/>
      <c r="T52" s="220" t="s">
        <v>1799</v>
      </c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ht="12.75">
      <c r="A53" s="213" t="s">
        <v>1784</v>
      </c>
      <c r="B53" s="214" t="s">
        <v>1783</v>
      </c>
      <c r="C53" s="211">
        <v>5</v>
      </c>
      <c r="D53" s="215" t="s">
        <v>158</v>
      </c>
      <c r="E53" s="211"/>
      <c r="F53" s="211"/>
      <c r="G53" s="211">
        <v>21</v>
      </c>
      <c r="H53" s="211">
        <v>30</v>
      </c>
      <c r="I53" s="211"/>
      <c r="J53" s="200"/>
      <c r="M53" s="220" t="s">
        <v>1894</v>
      </c>
      <c r="N53" s="225" t="s">
        <v>1895</v>
      </c>
      <c r="O53" s="226" t="s">
        <v>74</v>
      </c>
      <c r="P53" s="229" t="s">
        <v>1916</v>
      </c>
      <c r="Q53" s="219">
        <v>26</v>
      </c>
      <c r="R53" s="219">
        <v>26</v>
      </c>
      <c r="S53" s="219">
        <v>26</v>
      </c>
      <c r="T53" s="218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ht="12.75">
      <c r="A54" s="213" t="s">
        <v>1876</v>
      </c>
      <c r="B54" s="214" t="s">
        <v>1785</v>
      </c>
      <c r="C54" s="211">
        <v>5</v>
      </c>
      <c r="D54" s="215" t="s">
        <v>158</v>
      </c>
      <c r="E54" s="211"/>
      <c r="F54" s="211"/>
      <c r="G54" s="211">
        <v>18</v>
      </c>
      <c r="H54" s="211">
        <v>19</v>
      </c>
      <c r="I54" s="211"/>
      <c r="J54" s="213" t="s">
        <v>1798</v>
      </c>
      <c r="M54" s="220" t="s">
        <v>1954</v>
      </c>
      <c r="N54" s="227" t="s">
        <v>1955</v>
      </c>
      <c r="O54" s="228"/>
      <c r="P54" s="226" t="s">
        <v>74</v>
      </c>
      <c r="Q54" s="238" t="s">
        <v>456</v>
      </c>
      <c r="R54" s="238" t="s">
        <v>456</v>
      </c>
      <c r="S54" s="219"/>
      <c r="T54" s="220" t="s">
        <v>457</v>
      </c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ht="12.75">
      <c r="A55" s="213" t="s">
        <v>441</v>
      </c>
      <c r="B55" s="210" t="s">
        <v>442</v>
      </c>
      <c r="C55" s="200"/>
      <c r="D55" s="212"/>
      <c r="E55" s="200"/>
      <c r="F55" s="200"/>
      <c r="G55" s="211">
        <v>200</v>
      </c>
      <c r="H55" s="211">
        <v>240</v>
      </c>
      <c r="I55" s="211">
        <v>230</v>
      </c>
      <c r="J55" s="213" t="s">
        <v>443</v>
      </c>
      <c r="M55" s="220" t="s">
        <v>451</v>
      </c>
      <c r="N55" s="225" t="s">
        <v>452</v>
      </c>
      <c r="O55" s="221"/>
      <c r="P55" s="226"/>
      <c r="Q55" s="219">
        <v>11</v>
      </c>
      <c r="R55" s="219">
        <v>12</v>
      </c>
      <c r="S55" s="219"/>
      <c r="T55" s="218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ht="12.75">
      <c r="A56" s="213" t="s">
        <v>2203</v>
      </c>
      <c r="B56" s="214" t="s">
        <v>2204</v>
      </c>
      <c r="C56" s="200"/>
      <c r="D56" s="212"/>
      <c r="E56" s="200"/>
      <c r="F56" s="200"/>
      <c r="G56" s="211">
        <v>145</v>
      </c>
      <c r="H56" s="211">
        <v>155</v>
      </c>
      <c r="I56" s="211"/>
      <c r="J56" s="213" t="s">
        <v>2205</v>
      </c>
      <c r="M56" s="218"/>
      <c r="N56" s="225"/>
      <c r="O56" s="221"/>
      <c r="P56" s="226"/>
      <c r="Q56" s="219"/>
      <c r="R56" s="219"/>
      <c r="S56" s="219"/>
      <c r="T56" s="218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ht="12.75">
      <c r="A57" s="213" t="s">
        <v>2126</v>
      </c>
      <c r="B57" s="210" t="s">
        <v>1836</v>
      </c>
      <c r="C57" s="211"/>
      <c r="D57" s="212"/>
      <c r="E57" s="211"/>
      <c r="F57" s="211"/>
      <c r="G57" s="211">
        <v>103</v>
      </c>
      <c r="H57" s="211">
        <v>103</v>
      </c>
      <c r="I57" s="211"/>
      <c r="J57" s="200"/>
      <c r="M57" s="217" t="s">
        <v>455</v>
      </c>
      <c r="N57" s="218"/>
      <c r="O57" s="221"/>
      <c r="P57" s="218"/>
      <c r="Q57" s="218"/>
      <c r="R57" s="218"/>
      <c r="S57" s="218"/>
      <c r="T57" s="218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ht="12.75">
      <c r="A58" s="199" t="s">
        <v>1781</v>
      </c>
      <c r="B58" s="214" t="s">
        <v>1868</v>
      </c>
      <c r="C58" s="211">
        <v>21</v>
      </c>
      <c r="D58" s="215" t="s">
        <v>158</v>
      </c>
      <c r="E58" s="211">
        <v>0.5</v>
      </c>
      <c r="F58" s="211">
        <v>1</v>
      </c>
      <c r="G58" s="211">
        <v>276</v>
      </c>
      <c r="H58" s="211">
        <v>291</v>
      </c>
      <c r="I58" s="211">
        <v>280</v>
      </c>
      <c r="J58" s="200"/>
      <c r="M58" s="218" t="s">
        <v>191</v>
      </c>
      <c r="N58" s="218"/>
      <c r="O58" s="221"/>
      <c r="P58" s="218"/>
      <c r="Q58" s="218"/>
      <c r="R58" s="218"/>
      <c r="S58" s="218"/>
      <c r="T58" s="218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ht="12.75">
      <c r="A59" s="213" t="s">
        <v>1909</v>
      </c>
      <c r="B59" s="210" t="s">
        <v>1879</v>
      </c>
      <c r="C59" s="211"/>
      <c r="D59" s="212"/>
      <c r="E59" s="211"/>
      <c r="F59" s="211"/>
      <c r="G59" s="211">
        <v>210</v>
      </c>
      <c r="H59" s="211">
        <v>210</v>
      </c>
      <c r="I59" s="211">
        <v>210</v>
      </c>
      <c r="J59" s="200"/>
      <c r="M59" s="218"/>
      <c r="N59" s="218"/>
      <c r="O59" s="221"/>
      <c r="P59" s="218"/>
      <c r="Q59" s="218"/>
      <c r="R59" s="218"/>
      <c r="S59" s="218"/>
      <c r="T59" s="218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ht="12.75">
      <c r="A60" s="213" t="s">
        <v>1820</v>
      </c>
      <c r="B60" s="210" t="s">
        <v>1826</v>
      </c>
      <c r="C60" s="211"/>
      <c r="D60" s="212"/>
      <c r="E60" s="211"/>
      <c r="F60" s="211"/>
      <c r="G60" s="211">
        <v>330</v>
      </c>
      <c r="H60" s="211">
        <v>335</v>
      </c>
      <c r="I60" s="211"/>
      <c r="J60" s="200"/>
      <c r="M60" s="220" t="s">
        <v>102</v>
      </c>
      <c r="N60" s="218"/>
      <c r="O60" s="221"/>
      <c r="P60" s="218"/>
      <c r="Q60" s="218"/>
      <c r="R60" s="218"/>
      <c r="S60" s="218"/>
      <c r="T60" s="218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ht="12.75">
      <c r="A61" s="199" t="s">
        <v>1847</v>
      </c>
      <c r="B61" s="210" t="s">
        <v>1848</v>
      </c>
      <c r="C61" s="211">
        <v>9</v>
      </c>
      <c r="D61" s="212" t="s">
        <v>162</v>
      </c>
      <c r="E61" s="211">
        <v>7</v>
      </c>
      <c r="F61" s="211">
        <v>10</v>
      </c>
      <c r="G61" s="211">
        <v>40</v>
      </c>
      <c r="H61" s="211">
        <v>75</v>
      </c>
      <c r="I61" s="211">
        <v>51</v>
      </c>
      <c r="J61" s="200"/>
      <c r="M61" s="220" t="s">
        <v>103</v>
      </c>
      <c r="N61" s="218"/>
      <c r="O61" s="221"/>
      <c r="P61" s="218"/>
      <c r="Q61" s="218"/>
      <c r="R61" s="218"/>
      <c r="S61" s="218"/>
      <c r="T61" s="218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2.75">
      <c r="A62" s="213" t="s">
        <v>435</v>
      </c>
      <c r="B62" s="210" t="s">
        <v>437</v>
      </c>
      <c r="C62" s="200"/>
      <c r="D62" s="212" t="s">
        <v>436</v>
      </c>
      <c r="E62" s="200"/>
      <c r="F62" s="200"/>
      <c r="G62" s="211">
        <v>154</v>
      </c>
      <c r="H62" s="211">
        <v>154</v>
      </c>
      <c r="I62" s="211">
        <v>154</v>
      </c>
      <c r="J62" s="213" t="s">
        <v>438</v>
      </c>
      <c r="O62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ht="12.75">
      <c r="A63" s="199" t="s">
        <v>92</v>
      </c>
      <c r="B63" s="210" t="s">
        <v>93</v>
      </c>
      <c r="C63" s="211"/>
      <c r="D63" s="212"/>
      <c r="E63" s="211">
        <v>2</v>
      </c>
      <c r="F63" s="211"/>
      <c r="G63" s="211">
        <v>257</v>
      </c>
      <c r="H63" s="211">
        <v>270</v>
      </c>
      <c r="I63" s="211">
        <v>257</v>
      </c>
      <c r="J63" s="200"/>
      <c r="O63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ht="12.75">
      <c r="A64" s="199" t="s">
        <v>1782</v>
      </c>
      <c r="B64" s="214" t="s">
        <v>1869</v>
      </c>
      <c r="C64" s="211">
        <v>22</v>
      </c>
      <c r="D64" s="215" t="s">
        <v>157</v>
      </c>
      <c r="E64" s="211"/>
      <c r="F64" s="211"/>
      <c r="G64" s="211">
        <v>333</v>
      </c>
      <c r="H64" s="211">
        <v>336</v>
      </c>
      <c r="I64" s="211">
        <v>333</v>
      </c>
      <c r="J64" s="200"/>
      <c r="O64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ht="12.75">
      <c r="A65" s="213" t="s">
        <v>1844</v>
      </c>
      <c r="B65" s="210" t="s">
        <v>1845</v>
      </c>
      <c r="C65" s="211">
        <v>365</v>
      </c>
      <c r="D65" s="212"/>
      <c r="E65" s="211">
        <v>1</v>
      </c>
      <c r="F65" s="211">
        <v>6</v>
      </c>
      <c r="G65" s="211">
        <v>52</v>
      </c>
      <c r="H65" s="211">
        <v>53</v>
      </c>
      <c r="I65" s="211"/>
      <c r="J65" s="200"/>
      <c r="O6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2.75">
      <c r="A66" s="213" t="s">
        <v>1908</v>
      </c>
      <c r="B66" s="210" t="s">
        <v>1906</v>
      </c>
      <c r="C66" s="211"/>
      <c r="D66" s="212"/>
      <c r="E66" s="211"/>
      <c r="F66" s="211"/>
      <c r="G66" s="211">
        <v>55</v>
      </c>
      <c r="H66" s="211">
        <v>60</v>
      </c>
      <c r="I66" s="211"/>
      <c r="J66" s="213" t="s">
        <v>1907</v>
      </c>
      <c r="O66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ht="12.75">
      <c r="A67" s="213" t="s">
        <v>1980</v>
      </c>
      <c r="B67" s="210" t="s">
        <v>1981</v>
      </c>
      <c r="C67" s="211"/>
      <c r="D67" s="212"/>
      <c r="E67" s="211"/>
      <c r="F67" s="211"/>
      <c r="G67" s="211">
        <v>53</v>
      </c>
      <c r="H67" s="211">
        <v>58</v>
      </c>
      <c r="I67" s="211"/>
      <c r="J67" s="213" t="s">
        <v>1985</v>
      </c>
      <c r="O67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4" ht="12.75">
      <c r="A68" s="200"/>
      <c r="B68" s="210"/>
      <c r="C68" s="200"/>
      <c r="D68" s="212"/>
      <c r="E68" s="200"/>
      <c r="F68" s="200"/>
      <c r="G68" s="211"/>
      <c r="H68" s="211"/>
      <c r="I68" s="200"/>
      <c r="J68" s="200"/>
      <c r="O68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15" ht="12.75">
      <c r="A69" s="199" t="s">
        <v>455</v>
      </c>
      <c r="B69" s="200"/>
      <c r="C69" s="200"/>
      <c r="D69" s="212"/>
      <c r="E69" s="200"/>
      <c r="F69" s="200"/>
      <c r="G69" s="211"/>
      <c r="H69" s="211"/>
      <c r="I69" s="200"/>
      <c r="J69" s="200"/>
      <c r="O69"/>
    </row>
    <row r="70" spans="1:15" ht="12.75">
      <c r="A70" s="200" t="s">
        <v>191</v>
      </c>
      <c r="B70" s="200"/>
      <c r="C70" s="200"/>
      <c r="D70" s="211"/>
      <c r="E70" s="200"/>
      <c r="F70" s="200"/>
      <c r="G70" s="200"/>
      <c r="H70" s="200"/>
      <c r="I70" s="200"/>
      <c r="J70" s="200"/>
      <c r="O70"/>
    </row>
    <row r="71" spans="1:10" ht="12.75">
      <c r="A71" s="199" t="s">
        <v>166</v>
      </c>
      <c r="B71" s="200"/>
      <c r="C71" s="200"/>
      <c r="D71" s="211"/>
      <c r="E71" s="200"/>
      <c r="F71" s="200"/>
      <c r="G71" s="200"/>
      <c r="H71" s="200"/>
      <c r="I71" s="200"/>
      <c r="J71" s="200"/>
    </row>
    <row r="72" spans="1:35" ht="12.75">
      <c r="A72" s="199" t="s">
        <v>168</v>
      </c>
      <c r="B72" s="200"/>
      <c r="C72" s="200"/>
      <c r="D72" s="211"/>
      <c r="E72" s="200"/>
      <c r="F72" s="200"/>
      <c r="G72" s="200"/>
      <c r="H72" s="200"/>
      <c r="I72" s="200"/>
      <c r="J72" s="200"/>
      <c r="W72" s="108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1:35" ht="12.75">
      <c r="A73" s="200" t="s">
        <v>169</v>
      </c>
      <c r="B73" s="200"/>
      <c r="C73" s="200"/>
      <c r="D73" s="211"/>
      <c r="E73" s="200"/>
      <c r="F73" s="200"/>
      <c r="G73" s="200"/>
      <c r="H73" s="200"/>
      <c r="I73" s="200"/>
      <c r="J73" s="200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1:35" ht="12.75">
      <c r="A74" s="213" t="s">
        <v>167</v>
      </c>
      <c r="B74" s="200"/>
      <c r="C74" s="200"/>
      <c r="D74" s="200"/>
      <c r="E74" s="200"/>
      <c r="F74" s="200"/>
      <c r="G74" s="200"/>
      <c r="H74" s="200"/>
      <c r="I74" s="200"/>
      <c r="J74" s="200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1:10" ht="12.75">
      <c r="A75" s="213" t="s">
        <v>65</v>
      </c>
      <c r="B75" s="200"/>
      <c r="C75" s="200"/>
      <c r="D75" s="200"/>
      <c r="E75" s="200"/>
      <c r="F75" s="200"/>
      <c r="G75" s="200"/>
      <c r="H75" s="200"/>
      <c r="I75" s="200"/>
      <c r="J75" s="200"/>
    </row>
  </sheetData>
  <sheetProtection sheet="1"/>
  <mergeCells count="9">
    <mergeCell ref="AF3:AG3"/>
    <mergeCell ref="C3:D3"/>
    <mergeCell ref="X3:Y3"/>
    <mergeCell ref="Z3:AA3"/>
    <mergeCell ref="AB3:AC3"/>
    <mergeCell ref="AD3:AE3"/>
    <mergeCell ref="E3:F3"/>
    <mergeCell ref="G3:I3"/>
    <mergeCell ref="Q3:S3"/>
  </mergeCells>
  <printOptions/>
  <pageMargins left="0.7" right="0.7" top="0.75" bottom="0.75" header="0.3" footer="0.3"/>
  <pageSetup fitToHeight="1" fitToWidth="1" horizontalDpi="120" verticalDpi="12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Appendix:Days of the Week - Wiktionary</dc:title>
  <dc:subject/>
  <dc:creator>test</dc:creator>
  <cp:keywords/>
  <dc:description/>
  <cp:lastModifiedBy>Frank</cp:lastModifiedBy>
  <cp:lastPrinted>2017-01-26T21:18:42Z</cp:lastPrinted>
  <dcterms:created xsi:type="dcterms:W3CDTF">2006-11-18T00:06:44Z</dcterms:created>
  <dcterms:modified xsi:type="dcterms:W3CDTF">2022-12-30T19:13:42Z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